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V:\Conflict Metals &amp; Reach &amp; RoHS\Conflict Metal_CMR_EMRT\"/>
    </mc:Choice>
  </mc:AlternateContent>
  <xr:revisionPtr revIDLastSave="0" documentId="8_{9203282E-9A90-445B-AB16-44BE0F4F9F8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<sst xmlns="http://schemas.openxmlformats.org/spreadsheetml/2006/main" count="22375" uniqueCount="15813">
  <si>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</si>
  <si>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</si>
  <si>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</si>
  <si>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</si>
  <si>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</si>
  <si>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</si>
  <si>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</si>
  <si>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</si>
  <si>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</si>
  <si>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</si>
  <si>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</si>
  <si>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</si>
  <si>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</si>
  <si>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</si>
  <si>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</si>
  <si>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</si>
  <si>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</si>
  <si>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</si>
  <si>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</si>
  <si>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</si>
  <si>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</si>
  <si>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</si>
  <si>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</si>
  <si>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</si>
  <si>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</si>
  <si>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</si>
  <si>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</si>
  <si>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</si>
  <si>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</si>
  <si>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</si>
  <si>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</si>
  <si>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</si>
  <si>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</si>
  <si>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</si>
  <si>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</si>
  <si>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</si>
  <si>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</si>
  <si>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</si>
  <si>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</si>
  <si>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</si>
  <si>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</si>
  <si>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</si>
  <si>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</si>
  <si>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</si>
  <si>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</si>
  <si>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</si>
  <si>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</si>
  <si>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</si>
  <si>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</si>
  <si>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</si>
  <si>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</si>
  <si>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</si>
  <si>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</si>
  <si>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</si>
  <si>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</si>
  <si>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</si>
  <si>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</si>
  <si>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</si>
  <si>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</si>
  <si>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</si>
  <si>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</si>
  <si>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</si>
  <si>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</si>
  <si>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</si>
  <si>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</si>
  <si>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</si>
  <si>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</si>
  <si>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</si>
  <si>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</si>
  <si>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</si>
  <si>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</si>
  <si>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</si>
  <si>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</si>
  <si>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</si>
  <si>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</si>
  <si>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</si>
  <si>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</si>
  <si>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</si>
  <si>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</si>
  <si>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</si>
  <si>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</si>
  <si>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</si>
  <si>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</si>
  <si>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</si>
  <si>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</si>
  <si>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</si>
  <si>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</si>
  <si>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</si>
  <si>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</si>
  <si>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</si>
  <si>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</si>
  <si>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</si>
  <si>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</si>
  <si>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</si>
  <si>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</si>
  <si>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</si>
  <si>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</si>
  <si>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</si>
  <si>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</si>
  <si>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</si>
  <si>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</si>
  <si>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</si>
  <si>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</si>
  <si>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</si>
  <si>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</si>
  <si>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</si>
  <si>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</si>
  <si>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</si>
  <si>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</si>
  <si>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</si>
  <si>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</si>
  <si>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</si>
  <si>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</si>
  <si>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</si>
  <si>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</si>
  <si>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</si>
  <si>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</si>
  <si>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</si>
  <si>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</si>
  <si>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</si>
  <si>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</si>
  <si>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</si>
  <si>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</si>
  <si>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</si>
  <si>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</si>
  <si>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</si>
  <si>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</si>
  <si>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</si>
  <si>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</si>
  <si>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</si>
  <si>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</si>
  <si>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</si>
  <si>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</si>
  <si>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</si>
  <si>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</si>
  <si>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</si>
  <si>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</si>
  <si>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</si>
  <si>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</si>
  <si>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</si>
  <si>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</si>
  <si>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</si>
  <si>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</si>
  <si>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</si>
  <si>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</si>
  <si>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</si>
  <si>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</si>
  <si>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</si>
  <si>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</si>
  <si>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</si>
  <si>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</si>
  <si>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</si>
  <si>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</si>
  <si>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</si>
  <si>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</si>
  <si>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</si>
  <si>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</si>
  <si>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</si>
  <si>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</si>
  <si>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</si>
  <si>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</si>
  <si>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</si>
  <si>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</si>
  <si>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</si>
  <si>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</si>
  <si>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</si>
  <si>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</si>
  <si>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</si>
  <si>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</si>
  <si>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</si>
  <si>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</si>
  <si>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</si>
  <si>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</si>
  <si>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</si>
  <si>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</si>
  <si>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</si>
  <si>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</si>
  <si>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</si>
  <si>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</si>
  <si>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</si>
  <si>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</si>
  <si>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</si>
  <si>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</si>
  <si>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</si>
  <si>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</si>
  <si>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</si>
  <si>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</si>
  <si>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</si>
  <si>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</si>
  <si>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</si>
  <si>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</si>
  <si>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</si>
  <si>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</si>
  <si>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</si>
  <si>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</si>
  <si>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</si>
  <si>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</si>
  <si>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</si>
  <si>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</si>
  <si>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</si>
  <si>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</si>
  <si>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</si>
  <si>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</si>
  <si>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</si>
  <si>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</si>
  <si>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</si>
  <si>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</si>
  <si>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</si>
  <si>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</si>
  <si>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</si>
  <si>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</si>
  <si>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</si>
  <si>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</si>
  <si>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</si>
  <si>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</si>
  <si>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</si>
  <si>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</si>
  <si>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</si>
  <si>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</si>
  <si>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</si>
  <si>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</si>
  <si>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</si>
  <si>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</si>
  <si>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</si>
  <si>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</si>
  <si>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</si>
  <si>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</si>
  <si>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</si>
  <si>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</si>
  <si>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</si>
  <si>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</si>
  <si>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</si>
  <si>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</si>
  <si>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</si>
  <si>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</si>
  <si>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</si>
  <si>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</si>
  <si>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</si>
  <si>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</si>
  <si>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</si>
  <si>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</si>
  <si>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</si>
  <si>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</si>
  <si>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</si>
  <si>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</si>
  <si>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</si>
  <si>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</si>
  <si>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</si>
  <si>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</si>
  <si>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</si>
  <si>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</si>
  <si>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</si>
  <si>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</si>
  <si>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</si>
  <si>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</si>
  <si>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</si>
  <si>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</si>
  <si>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</si>
  <si>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</si>
  <si>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</si>
  <si>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</si>
  <si>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</si>
  <si>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</si>
  <si>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</si>
  <si>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</si>
  <si>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</si>
  <si>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</si>
  <si>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</si>
  <si>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</si>
  <si>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</si>
  <si>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</si>
  <si>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</si>
  <si>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</si>
  <si>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</si>
  <si>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</si>
  <si>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</si>
  <si>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</si>
  <si>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</si>
  <si>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</si>
  <si>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</si>
  <si>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</si>
  <si>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</si>
  <si>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</si>
  <si>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</si>
  <si>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</si>
  <si>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</si>
  <si>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</si>
  <si>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</si>
  <si>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</si>
  <si>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</si>
  <si>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</si>
  <si>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</si>
  <si>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</si>
  <si>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</si>
  <si>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</si>
  <si>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</si>
  <si>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</si>
  <si>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</si>
  <si>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</si>
  <si>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</si>
  <si>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</si>
  <si>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</si>
  <si>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</si>
  <si>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</si>
  <si>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</si>
  <si>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</si>
  <si>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</si>
  <si>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</si>
  <si>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</si>
  <si>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</si>
  <si>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</si>
  <si>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</si>
  <si>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</si>
  <si>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</si>
  <si>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</si>
  <si>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</si>
  <si>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</si>
  <si>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</si>
  <si>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</si>
  <si>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</si>
  <si>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</si>
  <si>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</si>
  <si>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</si>
  <si>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</si>
  <si>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</si>
  <si>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</si>
  <si>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</si>
  <si>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</si>
  <si>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</si>
  <si>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</si>
  <si>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</si>
  <si>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</si>
  <si>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</si>
  <si>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</si>
  <si>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</si>
  <si>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</si>
  <si>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</si>
  <si>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</si>
  <si>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</si>
  <si>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</si>
  <si>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</si>
  <si>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</si>
  <si>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</si>
  <si>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</si>
  <si>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</si>
  <si>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</si>
  <si>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</si>
  <si>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</si>
  <si>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</si>
  <si>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</si>
  <si>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</si>
  <si>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</si>
  <si>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</si>
  <si>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</si>
  <si>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</si>
  <si>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</si>
  <si>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</si>
  <si>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</si>
  <si>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</si>
  <si>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</si>
  <si>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</si>
  <si>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</si>
  <si>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</si>
  <si>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</si>
  <si>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</si>
  <si>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</si>
  <si>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</si>
  <si>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</si>
  <si>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</si>
  <si>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</si>
  <si>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</si>
  <si>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</si>
  <si>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</si>
  <si>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</si>
  <si>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</si>
  <si>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</si>
  <si>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</si>
  <si>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</si>
  <si>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</si>
  <si>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</si>
  <si>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</si>
  <si>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</si>
  <si>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</si>
  <si>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</si>
  <si>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</si>
  <si>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</si>
  <si>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</si>
  <si>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</si>
  <si>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</si>
  <si>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</si>
  <si>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</si>
  <si>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</si>
  <si>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</si>
  <si>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</si>
  <si>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</si>
  <si>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</si>
  <si>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</si>
  <si>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</si>
  <si>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</si>
  <si>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</si>
  <si>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</si>
  <si>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</si>
  <si>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</si>
  <si>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</si>
  <si>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</si>
  <si>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</si>
  <si>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</si>
  <si>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</si>
  <si>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</si>
  <si>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</si>
  <si>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</si>
  <si>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</si>
  <si>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</si>
  <si>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</si>
  <si>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</si>
  <si>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</si>
  <si>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</si>
  <si>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</si>
  <si>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</si>
  <si>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</si>
  <si>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</si>
  <si>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</si>
  <si>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</si>
  <si>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</si>
  <si>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</si>
  <si>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</si>
  <si>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</si>
  <si>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</si>
  <si>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</si>
  <si>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</si>
  <si>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</si>
  <si>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</si>
  <si>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</si>
  <si>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</si>
  <si>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</si>
  <si>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</si>
  <si>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</si>
  <si>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</si>
  <si>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</si>
  <si>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</si>
  <si>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</si>
  <si>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</si>
  <si>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</si>
  <si>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</si>
  <si>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</si>
  <si>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</si>
  <si>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</si>
  <si>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</si>
  <si>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</si>
  <si>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</si>
  <si>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</si>
  <si>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</si>
  <si>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</si>
  <si>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</si>
  <si>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</si>
  <si>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</si>
  <si>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</si>
  <si>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</si>
  <si>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</si>
  <si>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</si>
  <si>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</si>
  <si>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</si>
  <si>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</si>
  <si>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</si>
  <si>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</si>
  <si>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</si>
  <si>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</si>
  <si>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</si>
  <si>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</si>
  <si>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</si>
  <si>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</si>
  <si>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</si>
  <si>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</si>
  <si>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</si>
  <si>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</si>
  <si>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</si>
  <si>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</si>
  <si>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</si>
  <si>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</si>
  <si>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</si>
  <si>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</si>
  <si>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</si>
  <si>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</si>
  <si>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</si>
  <si>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</si>
  <si>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</si>
  <si>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</si>
  <si>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</si>
  <si>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</si>
  <si>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</si>
  <si>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</si>
  <si>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</si>
  <si>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</si>
  <si>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</si>
  <si>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</si>
  <si>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</si>
  <si>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</si>
  <si>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</si>
  <si>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</si>
  <si>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</si>
  <si>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</si>
  <si>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</si>
  <si>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</si>
  <si>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</si>
  <si>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</si>
  <si>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</si>
  <si>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</si>
  <si>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</si>
  <si>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</si>
  <si>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</si>
  <si>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</si>
  <si>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</si>
  <si>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</si>
  <si>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</si>
  <si>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</si>
  <si>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</si>
  <si>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</si>
  <si>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</si>
  <si>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</si>
  <si>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</si>
  <si>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</si>
  <si>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</si>
  <si>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</si>
  <si>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</si>
  <si>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</si>
  <si>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</si>
  <si>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</si>
  <si>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</si>
  <si>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</si>
  <si>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</si>
  <si>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</si>
  <si>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</si>
  <si>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</si>
  <si>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</si>
  <si>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</si>
  <si>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</si>
  <si>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</si>
  <si>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</si>
  <si>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</si>
  <si>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</si>
  <si>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</si>
  <si>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</si>
  <si>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</si>
  <si>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</si>
  <si>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</si>
  <si>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</si>
  <si>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</si>
  <si>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</si>
  <si>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</si>
  <si>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</si>
  <si>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</si>
  <si>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</si>
  <si>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</si>
  <si>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</si>
  <si>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</si>
  <si>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</si>
  <si>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</si>
  <si>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</si>
  <si>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</si>
  <si>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</si>
  <si>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</si>
  <si>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</si>
  <si>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</si>
  <si>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</si>
  <si>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</si>
  <si>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</si>
  <si>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</si>
  <si>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</si>
  <si>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</si>
  <si>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</si>
  <si>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</si>
  <si>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</si>
  <si>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</si>
  <si>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</si>
  <si>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</si>
  <si>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</si>
  <si>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</si>
  <si>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</si>
  <si>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</si>
  <si>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</si>
  <si>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</si>
  <si>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</si>
  <si>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</si>
  <si>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</si>
  <si>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</si>
  <si>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</si>
  <si>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</si>
  <si>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</si>
  <si>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</si>
  <si>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</si>
  <si>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</si>
  <si>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</si>
  <si>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</si>
  <si>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</si>
  <si>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</si>
  <si>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</si>
  <si>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</si>
  <si>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</si>
  <si>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</si>
  <si>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</si>
  <si>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</si>
  <si>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</si>
  <si>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</si>
  <si>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</si>
  <si>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</si>
  <si>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</si>
  <si>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</si>
  <si>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</si>
  <si>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</si>
  <si>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</si>
  <si>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</si>
  <si>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</si>
  <si>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</si>
  <si>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</si>
  <si>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</si>
  <si>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</si>
  <si>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</si>
  <si>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</si>
  <si>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</si>
  <si>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</si>
  <si>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</si>
  <si>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</si>
  <si>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</si>
  <si>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</si>
  <si>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</si>
  <si>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</si>
  <si>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</si>
  <si>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</si>
  <si>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</si>
  <si>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</si>
  <si>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</si>
  <si>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</si>
  <si>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</si>
  <si>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</si>
  <si>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</si>
  <si>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</si>
  <si>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</si>
  <si>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</si>
  <si>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</si>
  <si>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</si>
  <si>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</si>
  <si>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</si>
  <si>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</si>
  <si>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</si>
  <si>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</si>
  <si>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</si>
  <si>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</si>
  <si>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</si>
  <si>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</si>
  <si>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</si>
  <si>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</si>
  <si>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</si>
  <si>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</si>
  <si>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</si>
  <si>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</si>
  <si>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</si>
  <si>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</si>
  <si>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</si>
  <si>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</si>
  <si>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</si>
  <si>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</si>
  <si>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</si>
  <si>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</si>
  <si>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</si>
  <si>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</si>
  <si>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</si>
  <si>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</si>
  <si>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</si>
  <si>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</si>
  <si>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</si>
  <si>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</si>
  <si>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</si>
  <si>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</si>
  <si>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</si>
  <si>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</si>
  <si>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</si>
  <si>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</si>
  <si>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</si>
  <si>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</si>
  <si>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</si>
  <si>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</si>
  <si>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</si>
  <si>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</si>
  <si>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</si>
  <si>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</si>
  <si>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</si>
  <si>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</si>
  <si>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</si>
  <si>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</si>
  <si>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</si>
  <si>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</si>
  <si>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</si>
  <si>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</si>
  <si>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</si>
  <si>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</si>
  <si>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</si>
  <si>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</si>
  <si>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</si>
  <si>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</si>
  <si>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</si>
  <si>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</si>
  <si>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</si>
  <si>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</si>
  <si>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</si>
  <si>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</si>
  <si>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</si>
  <si>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</si>
  <si>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</si>
  <si>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</si>
  <si>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</si>
  <si>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</si>
  <si>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</si>
  <si>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</si>
  <si>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</si>
  <si>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</si>
  <si>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</si>
  <si>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</si>
  <si>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</si>
  <si>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</si>
  <si>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</si>
  <si>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</si>
  <si>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</si>
  <si>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</si>
  <si>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</si>
  <si>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</si>
  <si>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</si>
  <si>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</si>
  <si>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</si>
  <si>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</si>
  <si>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</si>
  <si>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</si>
  <si>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</si>
  <si>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</si>
  <si>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</si>
  <si>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</si>
  <si>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</si>
  <si>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</si>
  <si>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</si>
  <si>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</si>
  <si>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</si>
  <si>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</si>
  <si>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</si>
  <si>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</si>
  <si>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</si>
  <si>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</si>
  <si>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</si>
  <si>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</si>
  <si>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</si>
  <si>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</si>
  <si>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</si>
  <si>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</si>
  <si>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</si>
  <si>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</si>
  <si>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</si>
  <si>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</si>
  <si>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</si>
  <si>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</si>
  <si>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</si>
  <si>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</si>
  <si>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</si>
  <si>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</si>
  <si>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</si>
  <si>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</si>
  <si>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</si>
  <si>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</si>
  <si>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</si>
  <si>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</si>
  <si>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</si>
  <si>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</si>
  <si>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</si>
  <si>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</si>
  <si>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</si>
  <si>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</si>
  <si>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</si>
  <si>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</si>
  <si>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</si>
  <si>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</si>
  <si>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</si>
  <si>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</si>
  <si>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</si>
  <si>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</si>
  <si>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</si>
  <si>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</si>
  <si>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</si>
  <si>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</si>
  <si>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</si>
  <si>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</si>
  <si>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</si>
  <si>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</si>
  <si>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</si>
  <si>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</si>
  <si>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</si>
  <si>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</si>
  <si>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</si>
  <si>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</si>
  <si>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</si>
  <si>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</si>
  <si>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</si>
  <si>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</si>
  <si>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</si>
  <si>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</si>
  <si>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</si>
  <si>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</si>
  <si>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</si>
  <si>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</si>
  <si>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</si>
  <si>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</si>
  <si>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</si>
  <si>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</si>
  <si>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</si>
  <si>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</si>
  <si>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</si>
  <si>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</si>
  <si>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</si>
  <si>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</si>
  <si>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</si>
  <si>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</si>
  <si>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</si>
  <si>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</si>
  <si>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</si>
  <si>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</si>
  <si>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</si>
  <si>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</si>
  <si>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</si>
  <si>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</si>
  <si>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</si>
  <si>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</si>
  <si>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</si>
  <si>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</si>
  <si>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</si>
  <si>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</si>
  <si>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</si>
  <si>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</si>
  <si>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</si>
  <si>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</si>
  <si>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</si>
  <si>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</si>
  <si>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</si>
  <si>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</si>
  <si>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</si>
  <si>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</si>
  <si>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</si>
  <si>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</si>
  <si>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</si>
  <si>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</si>
  <si>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</si>
  <si>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</si>
  <si>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</si>
  <si>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</si>
  <si>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</si>
  <si>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</si>
  <si>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</si>
  <si>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</si>
  <si>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</si>
  <si>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</si>
  <si>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</si>
  <si>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</si>
  <si>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</si>
  <si>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</si>
  <si>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</si>
  <si>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</si>
  <si>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</si>
  <si>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</si>
  <si>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</si>
  <si>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</si>
  <si>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</si>
  <si>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</si>
  <si>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</si>
  <si>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</si>
  <si>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</si>
  <si>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</si>
  <si>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</si>
  <si>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</si>
  <si>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</si>
  <si>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</si>
  <si>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</si>
  <si>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</si>
  <si>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</si>
  <si>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</si>
  <si>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</si>
  <si>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</si>
  <si>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</si>
  <si>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</si>
  <si>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</si>
  <si>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</si>
  <si>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</si>
  <si>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</si>
  <si>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</si>
  <si>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</si>
  <si>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</si>
  <si>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</si>
  <si>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</si>
  <si>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</si>
  <si>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</si>
  <si>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</si>
  <si>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</si>
  <si>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</si>
  <si>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</si>
  <si>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</si>
  <si>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</si>
  <si>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</si>
  <si>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</si>
  <si>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</si>
  <si>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</si>
  <si>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</si>
  <si>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</si>
  <si>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</si>
  <si>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</si>
  <si>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</si>
  <si>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</si>
  <si>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</si>
  <si>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</si>
  <si>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</si>
  <si>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</si>
  <si>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</si>
  <si>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</si>
  <si>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</si>
  <si>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</si>
  <si>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</si>
  <si>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</si>
  <si>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</si>
  <si>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</si>
  <si>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</si>
  <si>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</si>
  <si>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</si>
  <si>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</si>
  <si>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</si>
  <si>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</si>
  <si>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</si>
  <si>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</si>
  <si>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</si>
  <si>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</si>
  <si>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</si>
  <si>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</si>
  <si>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</si>
  <si>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</si>
  <si>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</si>
  <si>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</si>
  <si>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</si>
  <si>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</si>
  <si>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</si>
  <si>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</si>
  <si>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</si>
  <si>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</si>
  <si>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</si>
  <si>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</si>
  <si>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</si>
  <si>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</si>
  <si>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</si>
  <si>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</si>
  <si>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</si>
  <si>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</si>
  <si>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</si>
  <si>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</si>
  <si>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</si>
  <si>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</si>
  <si>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</si>
  <si>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</si>
  <si>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</si>
  <si>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</si>
  <si>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</si>
  <si>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</si>
  <si>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</si>
  <si>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</si>
  <si>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</si>
  <si>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</si>
  <si>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</si>
  <si>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</si>
  <si>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</si>
  <si>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</si>
  <si>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</si>
  <si>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</si>
  <si>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</si>
  <si>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</si>
  <si>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</si>
  <si>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</si>
  <si>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</si>
  <si>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</si>
  <si>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</si>
  <si>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</si>
  <si>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</si>
  <si>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</si>
  <si>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</si>
  <si>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</si>
  <si>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</si>
  <si>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</si>
  <si>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</si>
  <si>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</si>
  <si>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</si>
  <si>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</si>
  <si>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</si>
  <si>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</si>
  <si>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</si>
  <si>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</si>
  <si>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</si>
  <si>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</si>
  <si>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</si>
  <si>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</si>
  <si>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</si>
  <si>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</si>
  <si>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</si>
  <si>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</si>
  <si>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</si>
  <si>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</si>
  <si>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</si>
  <si>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</si>
  <si>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</si>
  <si>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</si>
  <si>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</si>
  <si>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</si>
  <si>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</si>
  <si>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</si>
  <si>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</si>
  <si>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</si>
  <si>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</si>
  <si>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</si>
  <si>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</si>
  <si>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</si>
  <si>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</si>
  <si>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</si>
  <si>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</si>
  <si>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</si>
  <si>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</si>
  <si>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</si>
  <si>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</si>
  <si>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</si>
  <si>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</si>
  <si>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</si>
  <si>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</si>
  <si>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</si>
  <si>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</si>
  <si>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</si>
  <si>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</si>
  <si>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</si>
  <si>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</si>
  <si>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</si>
  <si>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</si>
  <si>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</si>
  <si>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</si>
  <si>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</si>
  <si>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</si>
  <si>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</si>
  <si>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</si>
  <si>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</si>
  <si>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</si>
  <si>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</si>
  <si>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</si>
  <si>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</si>
  <si>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</si>
  <si>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</si>
  <si>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</si>
  <si>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</si>
  <si>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</si>
  <si>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</si>
  <si>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</si>
  <si>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</si>
  <si>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</si>
  <si>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</si>
  <si>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</si>
  <si>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</si>
  <si>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</si>
  <si>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</si>
  <si>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</si>
  <si>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</si>
  <si>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</si>
  <si>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</si>
  <si>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</si>
  <si>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</si>
  <si>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</si>
  <si>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</si>
  <si>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</si>
  <si>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</si>
  <si>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</si>
  <si>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</si>
  <si>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</si>
  <si>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</si>
  <si>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</si>
  <si>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</si>
  <si>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</si>
  <si>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</si>
  <si>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</si>
  <si>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</si>
  <si>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</si>
  <si>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</si>
  <si>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</si>
  <si>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</si>
  <si>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</si>
  <si>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</si>
  <si>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</si>
  <si>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</si>
  <si>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</si>
  <si>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</si>
  <si>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</si>
  <si>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</si>
  <si>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</si>
  <si>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</si>
  <si>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</si>
  <si>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</si>
  <si>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</si>
  <si>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</si>
  <si>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</si>
  <si>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</si>
  <si>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</si>
  <si>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</si>
  <si>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</si>
  <si>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</si>
  <si>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</si>
  <si>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</si>
  <si>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</si>
  <si>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</si>
  <si>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</si>
  <si>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</si>
  <si>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</si>
  <si>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</si>
  <si>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</si>
  <si>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</si>
  <si>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</si>
  <si>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</si>
  <si>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</si>
  <si>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</si>
  <si>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</si>
  <si>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</si>
  <si>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</si>
  <si>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</si>
  <si>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</si>
  <si>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</si>
  <si>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</si>
  <si>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</si>
  <si>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</si>
  <si>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</si>
  <si>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</si>
  <si>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</si>
  <si>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</si>
  <si>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</si>
  <si>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</si>
  <si>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</si>
  <si>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</si>
  <si>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</si>
  <si>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</si>
  <si>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</si>
  <si>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</si>
  <si>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</si>
  <si>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</si>
  <si>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</si>
  <si>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</si>
  <si>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</si>
  <si>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</si>
  <si>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</si>
  <si>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</si>
  <si>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</si>
  <si>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</si>
  <si>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</si>
  <si>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</si>
  <si>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</si>
  <si>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</si>
  <si>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</si>
  <si>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</si>
  <si>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</si>
  <si>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</si>
  <si>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</si>
  <si>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</si>
  <si>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</si>
  <si>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</si>
  <si>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</si>
  <si>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</si>
  <si>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</si>
  <si>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</si>
  <si>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</si>
  <si>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</si>
  <si>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</si>
  <si>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</si>
  <si>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</si>
  <si>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</si>
  <si>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</si>
  <si>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</si>
  <si>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</si>
  <si>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</si>
  <si>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</si>
  <si>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</si>
  <si>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</si>
  <si>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</si>
  <si>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</si>
  <si>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</si>
  <si>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</si>
  <si>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</si>
  <si>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</si>
  <si>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</si>
  <si>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</si>
  <si>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</si>
  <si>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</si>
  <si>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</si>
  <si>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</si>
  <si>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</si>
  <si>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</si>
  <si>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</si>
  <si>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</si>
  <si>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</si>
  <si>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</si>
  <si>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</si>
  <si>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</si>
  <si>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</si>
  <si>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</si>
  <si>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</si>
  <si>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</si>
  <si>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</si>
  <si>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</si>
  <si>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</si>
  <si>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</si>
  <si>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</si>
  <si>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</si>
  <si>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</si>
  <si>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</si>
  <si>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</si>
  <si>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</si>
  <si>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</si>
  <si>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</si>
  <si>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</si>
  <si>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</si>
  <si>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</si>
  <si>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</si>
  <si>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</si>
  <si>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</si>
  <si>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</si>
  <si>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</si>
  <si>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</si>
  <si>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</si>
  <si>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</si>
  <si>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</si>
  <si>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</si>
  <si>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</si>
  <si>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</si>
  <si>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</si>
  <si>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</si>
  <si>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</si>
  <si>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</si>
  <si>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</si>
  <si>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</si>
  <si>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</si>
  <si>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</si>
  <si>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</si>
  <si>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</si>
  <si>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</si>
  <si>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</si>
  <si>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</si>
  <si>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</si>
  <si>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</si>
  <si>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</si>
  <si>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</si>
  <si>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</si>
  <si>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</si>
  <si>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</si>
  <si>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</si>
  <si>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</si>
  <si>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</si>
  <si>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</si>
  <si>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</si>
  <si>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</si>
  <si>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</si>
  <si>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</si>
  <si>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</si>
  <si>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</si>
  <si>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</si>
  <si>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</si>
  <si>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</si>
  <si>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</si>
  <si>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</si>
  <si>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</si>
  <si>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</si>
  <si>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</si>
  <si>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</si>
  <si>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</si>
  <si>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</si>
  <si>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</si>
  <si>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</si>
  <si>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</si>
  <si>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</si>
  <si>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</si>
  <si>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</si>
  <si>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</si>
  <si>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</si>
  <si>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</si>
  <si>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</si>
  <si>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</si>
  <si>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</si>
  <si>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</si>
  <si>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</si>
  <si>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</si>
  <si>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</si>
  <si>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</si>
  <si>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</si>
  <si>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</si>
  <si>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</si>
  <si>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</si>
  <si>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</si>
  <si>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</si>
  <si>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</si>
  <si>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</si>
  <si>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</si>
  <si>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</si>
  <si>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</si>
  <si>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</si>
  <si>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</si>
  <si>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</si>
  <si>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</si>
  <si>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</si>
  <si>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</si>
  <si>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</si>
  <si>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</si>
  <si>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</si>
  <si>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</si>
  <si>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</si>
  <si>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</si>
  <si>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</si>
  <si>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</si>
  <si>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</si>
  <si>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</si>
  <si>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</si>
  <si>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</si>
  <si>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</si>
  <si>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</si>
  <si>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</si>
  <si>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</si>
  <si>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</si>
  <si>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</si>
  <si>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</si>
  <si>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</si>
  <si>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</si>
  <si>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</si>
  <si>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</si>
  <si>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</si>
  <si>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</si>
  <si>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</si>
  <si>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</si>
  <si>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</si>
  <si>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</si>
  <si>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</si>
  <si>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</si>
  <si>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</si>
  <si>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</si>
  <si>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</si>
  <si>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</si>
  <si>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</si>
  <si>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</si>
  <si>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</si>
  <si>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</si>
  <si>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</si>
  <si>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</si>
  <si>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</si>
  <si>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</si>
  <si>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</si>
  <si>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</si>
  <si>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</si>
  <si>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</si>
  <si>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</si>
  <si>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</si>
  <si>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</si>
  <si>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</si>
  <si>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</si>
  <si>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</si>
  <si>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</si>
  <si>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</si>
  <si>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</si>
  <si>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</si>
  <si>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</si>
  <si>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</si>
  <si>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</si>
  <si>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</si>
  <si>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</si>
  <si>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</si>
  <si>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</si>
  <si>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</si>
  <si>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</si>
  <si>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</si>
  <si>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</si>
  <si>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</si>
  <si>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</si>
  <si>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</si>
  <si>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</si>
  <si>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</si>
  <si>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</si>
  <si>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</si>
  <si>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</si>
  <si>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</si>
  <si>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</si>
  <si>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</si>
  <si>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</si>
  <si>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</si>
  <si>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</si>
  <si>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</si>
  <si>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</si>
  <si>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</si>
  <si>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</si>
  <si>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</si>
  <si>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</si>
  <si>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</si>
  <si>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</si>
  <si>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</si>
  <si>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</si>
  <si>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</si>
  <si>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</si>
  <si>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</si>
  <si>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</si>
  <si>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</si>
  <si>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</si>
  <si>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</si>
  <si>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</si>
  <si>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</si>
  <si>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</si>
  <si>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</si>
  <si>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</si>
  <si>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</si>
  <si>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</si>
  <si>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</si>
  <si>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</si>
  <si>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</si>
  <si>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</si>
  <si>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</si>
  <si>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</si>
  <si>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</si>
  <si>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</si>
  <si>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</si>
  <si>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</si>
  <si>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</si>
  <si>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</si>
  <si>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</si>
  <si>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</si>
  <si>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</si>
  <si>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</si>
  <si>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</si>
  <si>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</si>
  <si>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</si>
  <si>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</si>
  <si>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</si>
  <si>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</si>
  <si>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</si>
  <si>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</si>
  <si>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</si>
  <si>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</si>
  <si>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</si>
  <si>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</si>
  <si>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</si>
  <si>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</si>
  <si>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</si>
  <si>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</si>
  <si>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</si>
  <si>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</si>
  <si>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</si>
  <si>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</si>
  <si>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</si>
  <si>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</si>
  <si>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</si>
  <si>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</si>
  <si>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</si>
  <si>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</si>
  <si>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</si>
  <si>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</si>
  <si>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</si>
  <si>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</si>
  <si>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</si>
  <si>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</si>
  <si>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</si>
  <si>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</si>
  <si>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</si>
  <si>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</si>
  <si>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</si>
  <si>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</si>
  <si>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</si>
  <si>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</si>
  <si>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</si>
  <si>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</si>
  <si>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</si>
  <si>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</si>
  <si>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</si>
  <si>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</si>
  <si>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</si>
  <si>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</si>
  <si>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</si>
  <si>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</si>
  <si>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</si>
  <si>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</si>
  <si>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</si>
  <si>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</si>
  <si>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</si>
  <si>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</si>
  <si>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</si>
  <si>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</si>
  <si>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</si>
  <si>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</si>
  <si>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</si>
  <si>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</si>
  <si>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</si>
  <si>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</si>
  <si>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</si>
  <si>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</si>
  <si>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</si>
  <si>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</si>
  <si>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</si>
  <si>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</si>
  <si>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</si>
  <si>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</si>
  <si>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</si>
  <si>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</si>
  <si>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</si>
  <si>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</si>
  <si>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</si>
  <si>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</si>
  <si>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</si>
  <si>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</si>
  <si>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</si>
  <si>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</si>
  <si>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</si>
  <si>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</si>
  <si>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</si>
  <si>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</si>
  <si>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</si>
  <si>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</si>
  <si>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</si>
  <si>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</si>
  <si>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</si>
  <si>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</si>
  <si>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</si>
  <si>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</si>
  <si>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</si>
  <si>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</si>
  <si>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</si>
  <si>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</si>
  <si>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</si>
  <si>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</si>
  <si>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</si>
  <si>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</si>
  <si>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</si>
  <si>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</si>
  <si>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</si>
  <si>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</si>
  <si>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</si>
  <si>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</si>
  <si>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</si>
  <si>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</si>
  <si>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</si>
  <si>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</si>
  <si>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</si>
  <si>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</si>
  <si>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</si>
  <si>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</si>
  <si>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</si>
  <si>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</si>
  <si>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</si>
  <si>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</si>
  <si>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</si>
  <si>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</si>
  <si>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</si>
  <si>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</si>
  <si>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</si>
  <si>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</si>
  <si>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</si>
  <si>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</si>
  <si>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</si>
  <si>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</si>
  <si>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</si>
  <si>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</si>
  <si>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</si>
  <si>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</si>
  <si>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</si>
  <si>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</si>
  <si>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</si>
  <si>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</si>
  <si>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</si>
  <si>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</si>
  <si>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</si>
  <si>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</si>
  <si>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</si>
  <si>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</si>
  <si>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</si>
  <si>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</si>
  <si>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</si>
  <si>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</si>
  <si>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</si>
  <si>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</si>
  <si>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</si>
  <si>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</si>
  <si>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</si>
  <si>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</si>
  <si>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</si>
  <si>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</si>
  <si>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</si>
  <si>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</si>
  <si>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</si>
  <si>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</si>
  <si>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</si>
  <si>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</si>
  <si>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</si>
  <si>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</si>
  <si>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</si>
  <si>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</si>
  <si>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</si>
  <si>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</si>
  <si>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</si>
  <si>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</si>
  <si>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</si>
  <si>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</si>
  <si>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</si>
  <si>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</si>
  <si>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</si>
  <si>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</si>
  <si>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</si>
  <si>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</si>
  <si>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</si>
  <si>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</si>
  <si>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</si>
  <si>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</si>
  <si>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</si>
  <si>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</si>
  <si>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</si>
  <si>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</si>
  <si>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</si>
  <si>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</si>
  <si>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</si>
  <si>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</si>
  <si>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</si>
  <si>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</si>
  <si>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</si>
  <si>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</si>
  <si>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</si>
  <si>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</si>
  <si>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</si>
  <si>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</si>
  <si>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</si>
  <si>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</si>
  <si>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</si>
  <si>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</si>
  <si>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</si>
  <si>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</si>
  <si>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</si>
  <si>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</si>
  <si>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</si>
  <si>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</si>
  <si>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</si>
  <si>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</si>
  <si>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</si>
  <si>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</si>
  <si>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</si>
  <si>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</si>
  <si>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</si>
  <si>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</si>
  <si>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</si>
  <si>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</si>
  <si>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</si>
  <si>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</si>
  <si>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</si>
  <si>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</si>
  <si>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</si>
  <si>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</si>
  <si>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</si>
  <si>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</si>
  <si>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</si>
  <si>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</si>
  <si>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</si>
  <si>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</si>
  <si>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</si>
  <si>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</si>
  <si>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</si>
  <si>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</si>
  <si>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</si>
  <si>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</si>
  <si>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</si>
  <si>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</si>
  <si>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</si>
  <si>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</si>
  <si>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</si>
  <si>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</si>
  <si>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</si>
  <si>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</si>
  <si>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</si>
  <si>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</si>
  <si>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</si>
  <si>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</si>
  <si>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</si>
  <si>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</si>
  <si>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</si>
  <si>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</si>
  <si>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</si>
  <si>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</si>
  <si>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</si>
  <si>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</si>
  <si>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</si>
  <si>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</si>
  <si>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</si>
  <si>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</si>
  <si>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</si>
  <si>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</si>
  <si>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</si>
  <si>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</si>
  <si>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</si>
  <si>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</si>
  <si>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</si>
  <si>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</si>
  <si>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</si>
  <si>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</si>
  <si>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</si>
  <si>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</si>
  <si>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</si>
  <si>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</si>
  <si>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</si>
  <si>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</si>
  <si>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</si>
  <si>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</si>
  <si>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</si>
  <si>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</si>
  <si>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</si>
  <si>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</si>
  <si>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</si>
  <si>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</si>
  <si>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</si>
  <si>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</si>
  <si>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</si>
  <si>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</si>
  <si>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</si>
  <si>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</si>
  <si>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</si>
  <si>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</si>
  <si>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</si>
  <si>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</si>
  <si>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</si>
  <si>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</si>
  <si>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</si>
  <si>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</si>
  <si>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</si>
  <si>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</si>
  <si>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</si>
  <si>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</si>
  <si>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</si>
  <si>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</si>
  <si>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</si>
  <si>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</si>
  <si>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</si>
  <si>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</si>
  <si>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</si>
  <si>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</si>
  <si>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</si>
  <si>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</si>
  <si>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</si>
  <si>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</si>
  <si>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</si>
  <si>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</si>
  <si>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</si>
  <si>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</si>
  <si>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</si>
  <si>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</si>
  <si>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</si>
  <si>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</si>
  <si>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</si>
  <si>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</si>
  <si>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</si>
  <si>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</si>
  <si>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</si>
  <si>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</si>
  <si>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</si>
  <si>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</si>
  <si>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</si>
  <si>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</si>
  <si>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</si>
  <si>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</si>
  <si>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</si>
  <si>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</si>
  <si>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</si>
  <si>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</si>
  <si>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</si>
  <si>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</si>
  <si>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</si>
  <si>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</si>
  <si>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</si>
  <si>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</si>
  <si>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</si>
  <si>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</si>
  <si>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</si>
  <si>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</si>
  <si>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</si>
  <si>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</si>
  <si>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</si>
  <si>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</si>
  <si>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</si>
  <si>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</si>
  <si>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</si>
  <si>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</si>
  <si>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</si>
  <si>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</si>
  <si>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</si>
  <si>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</si>
  <si>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</si>
  <si>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</si>
  <si>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</si>
  <si>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</si>
  <si>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</si>
  <si>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</si>
  <si>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</si>
  <si>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</si>
  <si>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</si>
  <si>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</si>
  <si>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</si>
  <si>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</si>
  <si>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</si>
  <si>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</si>
  <si>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</si>
  <si>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</si>
  <si>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</si>
  <si>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</si>
  <si>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</si>
  <si>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</si>
  <si>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</si>
  <si>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</si>
  <si>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</si>
  <si>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</si>
  <si>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</si>
  <si>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</si>
  <si>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</si>
  <si>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</si>
  <si>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</si>
  <si>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</si>
  <si>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</si>
  <si>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</si>
  <si>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</si>
  <si>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</si>
  <si>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</si>
  <si>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</si>
  <si>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</si>
  <si>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</si>
  <si>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</si>
  <si>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</si>
  <si>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</si>
  <si>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</si>
  <si>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</si>
  <si>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</si>
  <si>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</si>
  <si>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</si>
  <si>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</si>
  <si>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</si>
  <si>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</si>
  <si>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</si>
  <si>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</si>
  <si>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</si>
  <si>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</si>
  <si>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</si>
  <si>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</si>
  <si>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</si>
  <si>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</si>
  <si>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</si>
  <si>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</si>
  <si>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</si>
  <si>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</si>
  <si>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</si>
  <si>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</si>
  <si>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</si>
  <si>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</si>
  <si>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</si>
  <si>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</si>
  <si>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</si>
  <si>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</si>
  <si>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</si>
  <si>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</si>
  <si>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</si>
  <si>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</si>
  <si>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</si>
  <si>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</si>
  <si>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</si>
  <si>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</si>
  <si>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</si>
  <si>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</si>
  <si>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</si>
  <si>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</si>
  <si>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</si>
  <si>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</si>
  <si>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</si>
  <si>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</si>
  <si>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</si>
  <si>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</si>
  <si>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</si>
  <si>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</si>
  <si>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</si>
  <si>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</si>
  <si>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</si>
  <si>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</si>
  <si>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</si>
  <si>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</si>
  <si>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</si>
  <si>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</si>
  <si>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</si>
  <si>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</si>
  <si>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</si>
  <si>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</si>
  <si>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</si>
  <si>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</si>
  <si>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</si>
  <si>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</si>
  <si>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</si>
  <si>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</si>
  <si>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</si>
  <si>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</si>
  <si>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</si>
  <si>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</si>
  <si>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</si>
  <si>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</si>
  <si>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</si>
  <si>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</si>
  <si>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</si>
  <si>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</si>
  <si>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</si>
  <si>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</si>
  <si>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</si>
  <si>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</si>
  <si>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</si>
  <si>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</si>
  <si>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</si>
  <si>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</si>
  <si>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</si>
  <si>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</si>
  <si>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</si>
  <si>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</si>
  <si>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</si>
  <si>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</si>
  <si>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</si>
  <si>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</si>
  <si>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</si>
  <si>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</si>
  <si>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</si>
  <si>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</si>
  <si>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</si>
  <si>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</si>
  <si>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</si>
  <si>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</si>
  <si>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</si>
  <si>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</si>
  <si>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</si>
  <si>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</si>
  <si>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</si>
  <si>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</si>
  <si>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</si>
  <si>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</si>
  <si>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</si>
  <si>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</si>
  <si>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</si>
  <si>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</si>
  <si>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</si>
  <si>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</si>
  <si>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</si>
  <si>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</si>
  <si>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</si>
  <si>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</si>
  <si>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</si>
  <si>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</si>
  <si>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</si>
  <si>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</si>
  <si>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</si>
  <si>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</si>
  <si>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</si>
  <si>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</si>
  <si>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</si>
  <si>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</si>
  <si>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</si>
  <si>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</si>
  <si>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</si>
  <si>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</si>
  <si>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</si>
  <si>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</si>
  <si>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</si>
  <si>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</si>
  <si>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</si>
  <si>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</si>
  <si>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</si>
  <si>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</si>
  <si>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</si>
  <si>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</si>
  <si>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</si>
  <si>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</si>
  <si>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</si>
  <si>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</si>
  <si>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</si>
  <si>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</si>
  <si>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</si>
  <si>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</si>
  <si>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</si>
  <si>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</si>
  <si>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</si>
  <si>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</si>
  <si>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</si>
  <si>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</si>
  <si>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</si>
  <si>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</si>
  <si>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</si>
  <si>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</si>
  <si>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</si>
  <si>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</si>
  <si>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</si>
  <si>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</si>
  <si>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</si>
  <si>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</si>
  <si>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</si>
  <si>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</si>
  <si>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</si>
  <si>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</si>
  <si>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</si>
  <si>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</si>
  <si>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</si>
  <si>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</si>
  <si>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</si>
  <si>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</si>
  <si>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</si>
  <si>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</si>
  <si>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</si>
  <si>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</si>
  <si>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</si>
  <si>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</si>
  <si>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</si>
  <si>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</si>
  <si>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</si>
  <si>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</si>
  <si>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</si>
  <si>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</si>
  <si>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</si>
  <si>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</si>
  <si>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</si>
  <si>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</si>
  <si>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</si>
  <si>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</si>
  <si>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</si>
  <si>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</si>
  <si>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</si>
  <si>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</si>
  <si>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</si>
  <si>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</si>
  <si>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</si>
  <si>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</si>
  <si>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</si>
  <si>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</si>
  <si>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</si>
  <si>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</si>
  <si>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</si>
  <si>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</si>
  <si>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</si>
  <si>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</si>
  <si>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</si>
  <si>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</si>
  <si>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</si>
  <si>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</si>
  <si>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</si>
  <si>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</si>
  <si>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</si>
  <si>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</si>
  <si>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</si>
  <si>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</si>
  <si>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</si>
  <si>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</si>
  <si>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</si>
  <si>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</si>
  <si>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</si>
  <si>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</si>
  <si>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</si>
  <si>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</si>
  <si>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</si>
  <si>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</si>
  <si>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</si>
  <si>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</si>
  <si>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</si>
  <si>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</si>
  <si>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</si>
  <si>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</si>
  <si>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</si>
  <si>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</si>
  <si>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</si>
  <si>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</si>
  <si>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</si>
  <si>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</si>
  <si>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</si>
  <si>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</si>
  <si>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</si>
  <si>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</si>
  <si>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</si>
  <si>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</si>
  <si>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</si>
  <si>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</si>
  <si>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</si>
  <si>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</si>
  <si>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</si>
  <si>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</si>
  <si>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</si>
  <si>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</si>
  <si>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</si>
  <si>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</si>
  <si>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</si>
  <si>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</si>
  <si>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</si>
  <si>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</si>
  <si>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</si>
  <si>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</si>
  <si>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</si>
  <si>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</si>
  <si>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</si>
  <si>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</si>
  <si>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</si>
  <si>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</si>
  <si>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</si>
  <si>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</si>
  <si>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</si>
  <si>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</si>
  <si>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</si>
  <si>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</si>
  <si>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</si>
  <si>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</si>
  <si>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</si>
  <si>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</si>
  <si>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</si>
  <si>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</si>
  <si>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</si>
  <si>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</si>
  <si>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</si>
  <si>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</si>
  <si>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</si>
  <si>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</si>
  <si>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</si>
  <si>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</si>
  <si>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</si>
  <si>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</si>
  <si>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</si>
  <si>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</si>
  <si>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</si>
  <si>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</si>
  <si>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</si>
  <si>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</si>
  <si>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</si>
  <si>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</si>
  <si>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</si>
  <si>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</si>
  <si>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</si>
  <si>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</si>
  <si>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</si>
  <si>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</si>
  <si>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</si>
  <si>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</si>
  <si>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</si>
  <si>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</si>
  <si>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</si>
  <si>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</si>
  <si>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</si>
  <si>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</si>
  <si>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</si>
  <si>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</si>
  <si>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</si>
  <si>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</si>
  <si>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</si>
  <si>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</si>
  <si>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</si>
  <si>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</si>
  <si>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</si>
  <si>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</si>
  <si>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</si>
  <si>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</si>
  <si>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</si>
  <si>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</si>
  <si>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</si>
  <si>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</si>
  <si>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</si>
  <si>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</si>
  <si>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</si>
  <si>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</si>
  <si>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</si>
  <si>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</si>
  <si>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</si>
  <si>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</si>
  <si>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</si>
  <si>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</si>
  <si>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</si>
  <si>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</si>
  <si>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</si>
  <si>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</si>
  <si>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</si>
  <si>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</si>
  <si>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</si>
  <si>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</si>
  <si>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</si>
  <si>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</si>
  <si>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</si>
  <si>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</si>
  <si>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</si>
  <si>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</si>
  <si>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</si>
  <si>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</si>
  <si>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</si>
  <si>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</si>
  <si>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</si>
  <si>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</si>
  <si>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</si>
  <si>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</si>
  <si>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</si>
  <si>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</si>
  <si>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</si>
  <si>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</si>
  <si>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</si>
  <si>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</si>
  <si>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</si>
  <si>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</si>
  <si>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</si>
  <si>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</si>
  <si>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</si>
  <si>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</si>
  <si>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</si>
  <si>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</si>
  <si>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</si>
  <si>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</si>
  <si>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</si>
  <si>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</si>
  <si>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</si>
  <si>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</si>
  <si>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</si>
  <si>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</si>
  <si>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</si>
  <si>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</si>
  <si>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</si>
  <si>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</si>
  <si>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</si>
  <si>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</si>
  <si>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</si>
  <si>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</si>
  <si>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</si>
  <si>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</si>
  <si>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</si>
  <si>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</si>
  <si>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</si>
  <si>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</si>
  <si>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</si>
  <si>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</si>
  <si>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</si>
  <si>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</si>
  <si>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</si>
  <si>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</si>
  <si>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</si>
  <si>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</si>
  <si>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</si>
  <si>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</si>
  <si>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</si>
  <si>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</si>
  <si>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</si>
  <si>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</si>
  <si>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</si>
  <si>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</si>
  <si>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</si>
  <si>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</si>
  <si>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</si>
  <si>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</si>
  <si>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</si>
  <si>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</si>
  <si>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</si>
  <si>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</si>
  <si>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</si>
  <si>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</si>
  <si>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</si>
  <si>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</si>
  <si>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</si>
  <si>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</si>
  <si>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</si>
  <si>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</si>
  <si>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</si>
  <si>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</si>
  <si>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</si>
  <si>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</si>
  <si>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</si>
  <si>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</si>
  <si>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</si>
  <si>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</si>
  <si>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</si>
  <si>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</si>
  <si>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</si>
  <si>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</si>
  <si>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</si>
  <si>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</si>
  <si>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</si>
  <si>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</si>
  <si>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</si>
  <si>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</si>
  <si>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</si>
  <si>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</si>
  <si>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</si>
  <si>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</si>
  <si>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</si>
  <si>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</si>
  <si>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</si>
  <si>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</si>
  <si>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</si>
  <si>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</si>
  <si>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</si>
  <si>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</si>
  <si>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</si>
  <si>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</si>
  <si>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</si>
  <si>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</si>
  <si>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</si>
  <si>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</si>
  <si>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</si>
  <si>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</si>
  <si>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</si>
  <si>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</si>
  <si>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</si>
  <si>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</si>
  <si>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</si>
  <si>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</si>
  <si>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</si>
  <si>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</si>
  <si>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</si>
  <si>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</si>
  <si>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</si>
  <si>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</si>
  <si>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</si>
  <si>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</si>
  <si>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</si>
  <si>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</si>
  <si>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</si>
  <si>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</si>
  <si>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</si>
  <si>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</si>
  <si>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</si>
  <si>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</si>
  <si>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</si>
  <si>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</si>
  <si>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</si>
  <si>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</si>
  <si>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</si>
  <si>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</si>
  <si>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</si>
  <si>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</si>
  <si>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</si>
  <si>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</si>
  <si>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</si>
  <si>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</si>
  <si>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</si>
  <si>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</si>
  <si>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</si>
  <si>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</si>
  <si>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</si>
  <si>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</si>
  <si>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</si>
  <si>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</si>
  <si>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</si>
  <si>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</si>
  <si>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</si>
  <si>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</si>
  <si>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</si>
  <si>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</si>
  <si>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</si>
  <si>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</si>
  <si>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</si>
  <si>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</si>
  <si>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</si>
  <si>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</si>
  <si>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</si>
  <si>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</si>
  <si>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</si>
  <si>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</si>
  <si>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</si>
  <si>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</si>
  <si>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</si>
  <si>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</si>
  <si>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</si>
  <si>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</si>
  <si>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</si>
  <si>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</si>
  <si>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</si>
  <si>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</si>
  <si>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</si>
  <si>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</si>
  <si>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</si>
  <si>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</si>
  <si>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</si>
  <si>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</si>
  <si>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</si>
  <si>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</si>
  <si>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</si>
  <si>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</si>
  <si>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</si>
  <si>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</si>
  <si>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</si>
  <si>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</si>
  <si>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</si>
  <si>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</si>
  <si>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</si>
  <si>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</si>
  <si>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</si>
  <si>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</si>
  <si>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</si>
  <si>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</si>
  <si>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</si>
  <si>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</si>
  <si>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</si>
  <si>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</si>
  <si>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</si>
  <si>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</si>
  <si>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</si>
  <si>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</si>
  <si>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</si>
  <si>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</si>
  <si>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</si>
  <si>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</si>
  <si>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</si>
  <si>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</si>
  <si>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</si>
  <si>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</si>
  <si>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</si>
  <si>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</si>
  <si>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</si>
  <si>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</si>
  <si>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</si>
  <si>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</si>
  <si>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</si>
  <si>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</si>
  <si>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</si>
  <si>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</si>
  <si>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</si>
  <si>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</si>
  <si>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</si>
  <si>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</si>
  <si>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</si>
  <si>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</si>
  <si>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</si>
  <si>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</si>
  <si>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</si>
  <si>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</si>
  <si>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</si>
  <si>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</si>
  <si>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</si>
  <si>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</si>
  <si>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</si>
  <si>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</si>
  <si>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</si>
  <si>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</si>
  <si>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</si>
  <si>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</si>
  <si>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</si>
  <si>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</si>
  <si>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</si>
  <si>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</si>
  <si>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</si>
  <si>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</si>
  <si>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</si>
  <si>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</si>
  <si>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</si>
  <si>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</si>
  <si>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</si>
  <si>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</si>
  <si>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</si>
  <si>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</si>
  <si>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</si>
  <si>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</si>
  <si>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</si>
  <si>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</si>
  <si>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</si>
  <si>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</si>
  <si>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</si>
  <si>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</si>
  <si>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</si>
  <si>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</si>
  <si>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</si>
  <si>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</si>
  <si>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</si>
  <si>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</si>
  <si>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</si>
  <si>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</si>
  <si>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</si>
  <si>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</si>
  <si>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</si>
  <si>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</si>
  <si>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</si>
  <si>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</si>
  <si>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</si>
  <si>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</si>
  <si>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</si>
  <si>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</si>
  <si>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</si>
  <si>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</si>
  <si>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</si>
  <si>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</si>
  <si>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</si>
  <si>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</si>
  <si>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</si>
  <si>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</si>
  <si>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</si>
  <si>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</si>
  <si>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</si>
  <si>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</si>
  <si>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</si>
  <si>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</si>
  <si>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</si>
  <si>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</si>
  <si>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</si>
  <si>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</si>
  <si>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</si>
  <si>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</si>
  <si>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</si>
  <si>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</si>
  <si>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</si>
  <si>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</si>
  <si>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</si>
  <si>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</si>
  <si>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</si>
  <si>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</si>
  <si>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</si>
  <si>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</si>
  <si>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</si>
  <si>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</si>
  <si>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</si>
  <si>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</si>
  <si>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</si>
  <si>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</si>
  <si>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</si>
  <si>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</si>
  <si>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</si>
  <si>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</si>
  <si>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</si>
  <si>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</si>
  <si>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</si>
  <si>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</si>
  <si>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</si>
  <si>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</si>
  <si>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</si>
  <si>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</si>
  <si>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</si>
  <si>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</si>
  <si>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</si>
  <si>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</si>
  <si>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</si>
  <si>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</si>
  <si>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</si>
  <si>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</si>
  <si>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</si>
  <si>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</si>
  <si>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</si>
  <si>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</si>
  <si>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</si>
  <si>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</si>
  <si>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</si>
  <si>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</si>
  <si>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</si>
  <si>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</si>
  <si>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</si>
  <si>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</si>
  <si>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</si>
  <si>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</si>
  <si>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</si>
  <si>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</si>
  <si>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</si>
  <si>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</si>
  <si>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</si>
  <si>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</si>
  <si>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</si>
  <si>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</si>
  <si>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</si>
  <si>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</si>
  <si>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</si>
  <si>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</si>
  <si>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</si>
  <si>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</si>
  <si>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</si>
  <si>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</si>
  <si>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</si>
  <si>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</si>
  <si>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</si>
  <si>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</si>
  <si>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</si>
  <si>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</si>
  <si>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</si>
  <si>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</si>
  <si>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</si>
  <si>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</si>
  <si>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</si>
  <si>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</si>
  <si>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</si>
  <si>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</si>
  <si>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</si>
  <si>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</si>
  <si>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</si>
  <si>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</si>
  <si>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</si>
  <si>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</si>
  <si>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</si>
  <si>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</si>
  <si>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</si>
  <si>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</si>
  <si>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</si>
  <si>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</si>
  <si>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</si>
  <si>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</si>
  <si>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</si>
  <si>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</si>
  <si>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</si>
  <si>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</si>
  <si>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</si>
  <si>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</si>
  <si>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</si>
  <si>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</si>
  <si>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</si>
  <si>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</si>
  <si>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</si>
  <si>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</si>
  <si>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</si>
  <si>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</si>
  <si>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</si>
  <si>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</si>
  <si>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</si>
  <si>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</si>
  <si>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</si>
  <si>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</si>
  <si>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</si>
  <si>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</si>
  <si>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</si>
  <si>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</si>
  <si>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</si>
  <si>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</si>
  <si>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</si>
  <si>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</si>
  <si>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</si>
  <si>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</si>
  <si>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</si>
  <si>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</si>
  <si>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</si>
  <si>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</si>
  <si>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</si>
  <si>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</si>
  <si>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</si>
  <si>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</si>
  <si>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</si>
  <si>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</si>
  <si>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</si>
  <si>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</si>
  <si>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</si>
  <si>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</si>
  <si>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</si>
  <si>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</si>
  <si>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</si>
  <si>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</si>
  <si>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</si>
  <si>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</si>
  <si>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</si>
  <si>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</si>
  <si>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</si>
  <si>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</si>
  <si>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</si>
  <si>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</si>
  <si>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</si>
  <si>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</si>
  <si>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</si>
  <si>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</si>
  <si>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</si>
  <si>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</si>
  <si>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</si>
  <si>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</si>
  <si>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</si>
  <si>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</si>
  <si>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</si>
  <si>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</si>
  <si>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</si>
  <si>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</si>
  <si>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</si>
  <si>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</si>
  <si>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</si>
  <si>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</si>
  <si>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</si>
  <si>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</si>
  <si>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</si>
  <si>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</si>
  <si>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</si>
  <si>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</si>
  <si>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</si>
  <si>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</si>
  <si>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</si>
  <si>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</si>
  <si>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</si>
  <si>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</si>
  <si>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</si>
  <si>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</si>
  <si>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</si>
  <si>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</si>
  <si>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</si>
  <si>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</si>
  <si>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</si>
  <si>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</si>
  <si>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</si>
  <si>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</si>
  <si>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</si>
  <si>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</si>
  <si>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</si>
  <si>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</si>
  <si>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</si>
  <si>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</si>
  <si>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</si>
  <si>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</si>
  <si>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</si>
  <si>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</si>
  <si>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</si>
  <si>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</si>
  <si>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</si>
  <si>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</si>
  <si>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</si>
  <si>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</si>
  <si>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</si>
  <si>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</si>
  <si>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</si>
  <si>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</si>
  <si>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</si>
  <si>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</si>
  <si>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</si>
  <si>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</si>
  <si>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</si>
  <si>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</si>
  <si>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</si>
  <si>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</si>
  <si>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</si>
  <si>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</si>
  <si>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</si>
  <si>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</si>
  <si>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</si>
  <si>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</si>
  <si>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</si>
  <si>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</si>
  <si>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</si>
  <si>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</si>
  <si>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</si>
  <si>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</si>
  <si>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</si>
  <si>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</si>
  <si>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</si>
  <si>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</si>
  <si>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</si>
  <si>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</si>
  <si>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</si>
  <si>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</si>
  <si>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</si>
  <si>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</si>
  <si>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</si>
  <si>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</si>
  <si>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</si>
  <si>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</si>
  <si>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</si>
  <si>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</si>
  <si>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</si>
  <si>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</si>
  <si>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</si>
  <si>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</si>
  <si>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</si>
  <si>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</si>
  <si>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</si>
  <si>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</si>
  <si>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</si>
  <si>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</si>
  <si>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</si>
  <si>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</si>
  <si>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</si>
  <si>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</si>
  <si>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</si>
  <si>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</si>
  <si>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</si>
  <si>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</si>
  <si>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</si>
  <si>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</si>
  <si>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</si>
  <si>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</si>
  <si>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</si>
  <si>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</si>
  <si>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</si>
  <si>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</si>
  <si>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</si>
  <si>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</si>
  <si>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</si>
  <si>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</si>
  <si>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</si>
  <si>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</si>
  <si>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</si>
  <si>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</si>
  <si>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</si>
  <si>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</si>
  <si>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</si>
  <si>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</si>
  <si>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</si>
  <si>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</si>
  <si>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</si>
  <si>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</si>
  <si>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</si>
  <si>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</si>
  <si>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</si>
  <si>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</si>
  <si>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</si>
  <si>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</si>
  <si>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</si>
  <si>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</si>
  <si>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</si>
  <si>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</si>
  <si>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</si>
  <si>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</si>
  <si>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</si>
  <si>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</si>
  <si>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</si>
  <si>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</si>
  <si>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</si>
  <si>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</si>
  <si>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</si>
  <si>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</si>
  <si>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</si>
  <si>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</si>
  <si>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</si>
  <si>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</si>
  <si>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</si>
  <si>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</si>
  <si>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</si>
  <si>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</si>
  <si>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</si>
  <si>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</si>
  <si>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</si>
  <si>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</si>
  <si>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</si>
  <si>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</si>
  <si>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</si>
  <si>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</si>
  <si>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</si>
  <si>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</si>
  <si>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</si>
  <si>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</si>
  <si>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</si>
  <si>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</si>
  <si>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</si>
  <si>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</si>
  <si>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</si>
  <si>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</si>
  <si>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</si>
  <si>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</si>
  <si>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</si>
  <si>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</si>
  <si>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</si>
  <si>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</si>
  <si>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</si>
  <si>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</si>
  <si>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</si>
  <si>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</si>
  <si>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</si>
  <si>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</si>
  <si>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</si>
  <si>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</si>
  <si>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</si>
  <si>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</si>
  <si>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</si>
  <si>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</si>
  <si>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</si>
  <si>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</si>
  <si>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</si>
  <si>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</si>
  <si>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</si>
  <si>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</si>
  <si>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</si>
  <si>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</si>
  <si>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</si>
  <si>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</si>
  <si>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</si>
  <si>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</si>
  <si>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</si>
  <si>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</si>
  <si>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</si>
  <si>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</si>
  <si>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</si>
  <si>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</si>
  <si>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</si>
  <si>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</si>
  <si>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</si>
  <si>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</si>
  <si>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</si>
  <si>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</si>
  <si>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</si>
  <si>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</si>
  <si>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</si>
  <si>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</si>
  <si>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</si>
  <si>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</si>
  <si>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</si>
  <si>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</si>
  <si>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</si>
  <si>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</si>
  <si>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</si>
  <si>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</si>
  <si>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</si>
  <si>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</si>
  <si>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</si>
  <si>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</si>
  <si>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</si>
  <si>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</si>
  <si>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</si>
  <si>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</si>
  <si>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</si>
  <si>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</si>
  <si>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</si>
  <si>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</si>
  <si>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</si>
  <si>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</si>
  <si>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</si>
  <si>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</si>
  <si>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</si>
  <si>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</si>
  <si>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</si>
  <si>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</si>
  <si>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</si>
  <si>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</si>
  <si>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</si>
  <si>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</si>
  <si>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</si>
  <si>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</si>
  <si>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</si>
  <si>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</si>
  <si>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</si>
  <si>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</si>
  <si>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</si>
  <si>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</si>
  <si>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</si>
  <si>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</si>
  <si>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</si>
  <si>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</si>
  <si>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</si>
  <si>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</si>
  <si>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</si>
  <si>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</si>
  <si>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</si>
  <si>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</si>
  <si>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</si>
  <si>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</si>
  <si>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</si>
  <si>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</si>
  <si>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</si>
  <si>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</si>
  <si>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</si>
  <si>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</si>
  <si>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</si>
  <si>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</si>
  <si>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</si>
  <si>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</si>
  <si>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</si>
  <si>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</si>
  <si>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</si>
  <si>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</si>
  <si>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</si>
  <si>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</si>
  <si>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</si>
  <si>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</si>
  <si>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</si>
  <si>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</si>
  <si>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</si>
  <si>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</si>
  <si>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</si>
  <si>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</si>
  <si>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</si>
  <si>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</si>
  <si>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</si>
  <si>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</si>
  <si>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</si>
  <si>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</si>
  <si>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</si>
  <si>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</si>
  <si>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</si>
  <si>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</si>
  <si>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</si>
  <si>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</si>
  <si>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</si>
  <si>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</si>
  <si>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</si>
  <si>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</si>
  <si>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</si>
  <si>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</si>
  <si>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</si>
  <si>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</si>
  <si>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</si>
  <si>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</si>
  <si>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</si>
  <si>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</si>
  <si>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</si>
  <si>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</si>
  <si>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</si>
  <si>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</si>
  <si>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</si>
  <si>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</si>
  <si>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</si>
  <si>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</si>
  <si>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</si>
  <si>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</si>
  <si>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</si>
  <si>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</si>
  <si>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</si>
  <si>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</si>
  <si>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</si>
  <si>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</si>
  <si>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</si>
  <si>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</si>
  <si>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</si>
  <si>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</si>
  <si>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</si>
  <si>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</si>
  <si>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</si>
  <si>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</si>
  <si>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</si>
  <si>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</si>
  <si>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</si>
  <si>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</si>
  <si>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</si>
  <si>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</si>
  <si>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</si>
  <si>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</si>
  <si>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</si>
  <si>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</si>
  <si>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</si>
  <si>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</si>
  <si>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</si>
  <si>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</si>
  <si>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</si>
  <si>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</si>
  <si>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</si>
  <si>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</si>
  <si>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</si>
  <si>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</si>
  <si>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</si>
  <si>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</si>
  <si>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</si>
  <si>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</si>
  <si>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</si>
  <si>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</si>
  <si>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</si>
  <si>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</si>
  <si>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</si>
  <si>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</si>
  <si>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</si>
  <si>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</si>
  <si>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</si>
  <si>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</si>
  <si>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</si>
  <si>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</si>
  <si>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</si>
  <si>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</si>
  <si>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</si>
  <si>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</si>
  <si>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</si>
  <si>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</si>
  <si>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</si>
  <si>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</si>
  <si>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</si>
  <si>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</si>
  <si>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</si>
  <si>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</si>
  <si>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</si>
  <si>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</si>
  <si>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</si>
  <si>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</si>
  <si>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</si>
  <si>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</si>
  <si>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</si>
  <si>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</si>
  <si>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</si>
  <si>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</si>
  <si>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</si>
  <si>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</si>
  <si>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</si>
  <si>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</si>
  <si>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</si>
  <si>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</si>
  <si>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</si>
  <si>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</si>
  <si>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</si>
  <si>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</si>
  <si>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</si>
  <si>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</si>
  <si>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</si>
  <si>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</si>
  <si>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</si>
  <si>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</si>
  <si>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</si>
  <si>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</si>
  <si>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</si>
  <si>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</si>
  <si>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</si>
  <si>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</si>
  <si>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</si>
  <si>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</si>
  <si>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</si>
  <si>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</si>
  <si>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</si>
  <si>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</si>
  <si>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</si>
  <si>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</si>
  <si>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</si>
  <si>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</si>
  <si>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</si>
  <si>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</si>
  <si>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</si>
  <si>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</si>
  <si>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</si>
  <si>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</si>
  <si>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</si>
  <si>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</si>
  <si>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</si>
  <si>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</si>
  <si>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</si>
  <si>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</si>
  <si>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</si>
  <si>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</si>
  <si>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</si>
  <si>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</si>
  <si>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</si>
  <si>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</si>
  <si>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</si>
  <si>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</si>
  <si>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</si>
  <si>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</si>
  <si>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</si>
  <si>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</si>
  <si>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</si>
  <si>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</si>
  <si>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</si>
  <si>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</si>
  <si>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</si>
  <si>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</si>
  <si>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</si>
  <si>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</si>
  <si>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</si>
  <si>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</si>
  <si>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</si>
  <si>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</si>
  <si>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</si>
  <si>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</si>
  <si>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</si>
  <si>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</si>
  <si>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</si>
  <si>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</si>
  <si>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</si>
  <si>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</si>
  <si>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</si>
  <si>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</si>
  <si>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</si>
  <si>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</si>
  <si>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</si>
  <si>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</si>
  <si>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</si>
  <si>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</si>
  <si>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</si>
  <si>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</si>
  <si>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</si>
  <si>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</si>
  <si>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</si>
  <si>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</si>
  <si>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</si>
  <si>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</si>
  <si>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</si>
  <si>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</si>
  <si>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</si>
  <si>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</si>
  <si>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</si>
  <si>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</si>
  <si>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</si>
  <si>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</si>
  <si>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</si>
  <si>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</si>
  <si>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</si>
  <si>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</si>
  <si>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</si>
  <si>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</si>
  <si>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</si>
  <si>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</si>
  <si>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</si>
  <si>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</si>
  <si>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</si>
  <si>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</si>
  <si>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</si>
  <si>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</si>
  <si>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</si>
  <si>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</si>
  <si>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</si>
  <si>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</si>
  <si>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</si>
  <si>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</si>
  <si>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</si>
  <si>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</si>
  <si>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</si>
  <si>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</si>
  <si>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</si>
  <si>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</si>
  <si>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</si>
  <si>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</si>
  <si>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</si>
  <si>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</si>
  <si>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</si>
  <si>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</si>
  <si>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</si>
  <si>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</si>
  <si>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</si>
  <si>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</si>
  <si>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</si>
  <si>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</si>
  <si>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</si>
  <si>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</si>
  <si>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</si>
  <si>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</si>
  <si>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</si>
  <si>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</si>
  <si>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</si>
  <si>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</si>
  <si>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</si>
  <si>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</si>
  <si>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</si>
  <si>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</si>
  <si>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</si>
  <si>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</si>
  <si>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</si>
  <si>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</si>
  <si>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</si>
  <si>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</si>
  <si>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</si>
  <si>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</si>
  <si>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</si>
  <si>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</si>
  <si>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</si>
  <si>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</si>
  <si>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</si>
  <si>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</si>
  <si>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</si>
  <si>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</si>
  <si>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</si>
  <si>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</si>
  <si>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</si>
  <si>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</si>
  <si>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</si>
  <si>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</si>
  <si>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</si>
  <si>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</si>
  <si>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</si>
  <si>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</si>
  <si>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</si>
  <si>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</si>
  <si>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</si>
  <si>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</si>
  <si>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</si>
  <si>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</si>
  <si>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</si>
  <si>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</si>
  <si>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</si>
  <si>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</si>
  <si>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</si>
  <si>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</si>
  <si>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</si>
  <si>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</si>
  <si>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</si>
  <si>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</si>
  <si>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</si>
  <si>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</si>
  <si>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</si>
  <si>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</si>
  <si>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</si>
  <si>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</si>
  <si>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</si>
  <si>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</si>
  <si>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</si>
  <si>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</si>
  <si>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</si>
  <si>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</si>
  <si>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</si>
  <si>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</si>
  <si>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</si>
  <si>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</si>
  <si>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</si>
  <si>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</si>
  <si>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</si>
  <si>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</si>
  <si>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</si>
  <si>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</si>
  <si>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</si>
  <si>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</si>
  <si>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</si>
  <si>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</si>
  <si>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</si>
  <si>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</si>
  <si>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</si>
  <si>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</si>
  <si>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</si>
  <si>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</si>
  <si>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</si>
  <si>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</si>
  <si>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</si>
  <si>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</si>
  <si>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</si>
  <si>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</si>
  <si>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</si>
  <si>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</si>
  <si>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</si>
  <si>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</si>
  <si>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</si>
  <si>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</si>
  <si>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</si>
  <si>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</si>
  <si>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</si>
  <si>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</si>
  <si>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</si>
  <si>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</si>
  <si>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</si>
  <si>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</si>
  <si>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</si>
  <si>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</si>
  <si>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</si>
  <si>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</si>
  <si>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</si>
  <si>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</si>
  <si>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</si>
  <si>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</si>
  <si>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</si>
  <si>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</si>
  <si>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</si>
  <si>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</si>
  <si>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</si>
  <si>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</si>
  <si>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</si>
  <si>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</si>
  <si>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</si>
  <si>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</si>
  <si>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</si>
  <si>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</si>
  <si>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</si>
  <si>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</si>
  <si>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</si>
  <si>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</si>
  <si>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</si>
  <si>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</si>
  <si>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</si>
  <si>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</si>
  <si>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</si>
  <si>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</si>
  <si>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</si>
  <si>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</si>
  <si>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</si>
  <si>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</si>
  <si>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</si>
  <si>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</si>
  <si>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</si>
  <si>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</si>
  <si>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</si>
  <si>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</si>
  <si>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</si>
  <si>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</si>
  <si>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</si>
  <si>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</si>
  <si>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</si>
  <si>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</si>
  <si>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</si>
  <si>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</si>
  <si>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</si>
  <si>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</si>
  <si>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</si>
  <si>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</si>
  <si>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</si>
  <si>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</si>
  <si>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</si>
  <si>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</si>
  <si>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</si>
  <si>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</si>
  <si>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</si>
  <si>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</si>
  <si>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</si>
  <si>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</si>
  <si>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</si>
  <si>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</si>
  <si>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</si>
  <si>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</si>
  <si>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</si>
  <si>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</si>
  <si>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</si>
  <si>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</si>
  <si>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</si>
  <si>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</si>
  <si>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</si>
  <si>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</si>
  <si>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</si>
  <si>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</si>
  <si>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</si>
  <si>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</si>
  <si>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</si>
  <si>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</si>
  <si>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</si>
  <si>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</si>
  <si>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</si>
  <si>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</si>
  <si>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</si>
  <si>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</si>
  <si>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</si>
  <si>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</si>
  <si>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</si>
  <si>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</si>
  <si>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</si>
  <si>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</si>
  <si>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</si>
  <si>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</si>
  <si>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</si>
  <si>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</si>
  <si>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</si>
  <si>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</si>
  <si>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</si>
  <si>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</si>
  <si>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</si>
  <si>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</si>
  <si>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</si>
  <si>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</si>
  <si>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</si>
  <si>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</si>
  <si>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</si>
  <si>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</si>
  <si>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</si>
  <si>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</si>
  <si>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</si>
  <si>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</si>
  <si>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</si>
  <si>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</si>
  <si>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</si>
  <si>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</si>
  <si>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</si>
  <si>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</si>
  <si>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</si>
  <si>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</si>
  <si>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</si>
  <si>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</si>
  <si>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</si>
  <si>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</si>
  <si>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</si>
  <si>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</si>
  <si>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</si>
  <si>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</si>
  <si>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</si>
  <si>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</si>
  <si>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</si>
  <si>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</si>
  <si>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</si>
  <si>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</si>
  <si>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</si>
  <si>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</si>
  <si>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</si>
  <si>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</si>
  <si>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</si>
  <si>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</si>
  <si>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</si>
  <si>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</si>
  <si>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</si>
  <si>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</si>
  <si>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</si>
  <si>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</si>
  <si>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</si>
  <si>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</si>
  <si>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</si>
  <si>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</si>
  <si>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</si>
  <si>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</si>
  <si>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</si>
  <si>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</si>
  <si>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</si>
  <si>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</si>
  <si>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</si>
  <si>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</si>
  <si>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</si>
  <si>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</si>
  <si>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</si>
  <si>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</si>
  <si>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</si>
  <si>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</si>
  <si>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</si>
  <si>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</si>
  <si>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</si>
  <si>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</si>
  <si>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</si>
  <si>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</si>
  <si>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</si>
  <si>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</si>
  <si>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</si>
  <si>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</si>
  <si>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</si>
  <si>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</si>
  <si>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</si>
  <si>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</si>
  <si>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</si>
  <si>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</si>
  <si>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</si>
  <si>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</si>
  <si>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</si>
  <si>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</si>
  <si>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</si>
  <si>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</si>
  <si>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</si>
  <si>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</si>
  <si>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</si>
  <si>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</si>
  <si>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</si>
  <si>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</si>
  <si>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</si>
  <si>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</si>
  <si>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</si>
  <si>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</si>
  <si>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</si>
  <si>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</si>
  <si>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</si>
  <si>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</si>
  <si>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</si>
  <si>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</si>
  <si>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</si>
  <si>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</si>
  <si>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</si>
  <si>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</si>
  <si>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</si>
  <si>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</si>
  <si>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</si>
  <si>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</si>
  <si>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</si>
  <si>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</si>
  <si>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</si>
  <si>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</si>
  <si>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</si>
  <si>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</si>
  <si>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</si>
  <si>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</si>
  <si>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</si>
  <si>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</si>
  <si>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</si>
  <si>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</si>
  <si>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</si>
  <si>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</si>
  <si>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</si>
  <si>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</si>
  <si>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</si>
  <si>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</si>
  <si>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</si>
  <si>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</si>
  <si>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</si>
  <si>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</si>
  <si>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</si>
  <si>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</si>
  <si>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</si>
  <si>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</si>
  <si>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</si>
  <si>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</si>
  <si>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</si>
  <si>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</si>
  <si>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</si>
  <si>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</si>
  <si>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</si>
  <si>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</si>
  <si>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</si>
  <si>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</si>
  <si>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</si>
  <si>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</si>
  <si>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</si>
  <si>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</si>
  <si>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</si>
  <si>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</si>
  <si>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</si>
  <si>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</si>
  <si>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</si>
  <si>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</si>
  <si>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</si>
  <si>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</si>
  <si>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</si>
  <si>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</si>
  <si>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</si>
  <si>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</si>
  <si>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</si>
  <si>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</si>
  <si>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</si>
  <si>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</si>
  <si>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</si>
  <si>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</si>
  <si>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</si>
  <si>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</si>
  <si>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</si>
  <si>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</si>
  <si>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</si>
  <si>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</si>
  <si>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</si>
  <si>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</si>
  <si>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</si>
  <si>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</si>
  <si>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</si>
  <si>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</si>
  <si>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</si>
  <si>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</si>
  <si>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</si>
  <si>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</si>
  <si>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</si>
  <si>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</si>
  <si>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</si>
  <si>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</si>
  <si>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</si>
  <si>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</si>
  <si>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</si>
  <si>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</si>
  <si>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</si>
  <si>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</si>
  <si>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</si>
  <si>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</si>
  <si>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</si>
  <si>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</si>
  <si>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</si>
  <si>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</si>
  <si>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</si>
  <si>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</si>
  <si>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</si>
  <si>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</si>
  <si>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</si>
  <si>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</si>
  <si>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</si>
  <si>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</si>
  <si>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</si>
  <si>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</si>
  <si>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</si>
  <si>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</si>
  <si>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</si>
  <si>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</si>
  <si>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</si>
  <si>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</si>
  <si>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</si>
  <si>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</si>
  <si>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</si>
  <si>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</si>
  <si>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</si>
  <si>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</si>
  <si>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</si>
  <si>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</si>
  <si>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</si>
  <si>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</si>
  <si>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</si>
  <si>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</si>
  <si>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</si>
  <si>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</si>
  <si>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</si>
  <si>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</si>
  <si>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</si>
  <si>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</si>
  <si>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</si>
  <si>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</si>
  <si>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</si>
  <si>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</si>
  <si>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</si>
  <si>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</si>
  <si>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</si>
  <si>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</si>
  <si>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</si>
  <si>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</si>
  <si>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</si>
  <si>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</si>
  <si>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</si>
  <si>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</si>
  <si>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</si>
  <si>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</si>
  <si>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</si>
  <si>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</si>
  <si>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</si>
  <si>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</si>
  <si>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</si>
  <si>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</si>
  <si>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</si>
  <si>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</si>
  <si>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</si>
  <si>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</si>
  <si>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</si>
  <si>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</si>
  <si>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</si>
  <si>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</si>
  <si>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</si>
  <si>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</si>
  <si>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</si>
  <si>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</si>
  <si>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</si>
  <si>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</si>
  <si>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</si>
  <si>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</si>
  <si>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</si>
  <si>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</si>
  <si>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</si>
  <si>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</si>
  <si>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</si>
  <si>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</si>
  <si>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</si>
  <si>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</si>
  <si>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</si>
  <si>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</si>
  <si>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</si>
  <si>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</si>
  <si>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</si>
  <si>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</si>
  <si>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</si>
  <si>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</si>
  <si>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</si>
  <si>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</si>
  <si>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</si>
  <si>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</si>
  <si>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</si>
  <si>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</si>
  <si>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</si>
  <si>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</si>
  <si>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</si>
  <si>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</si>
  <si>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</si>
  <si>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</si>
  <si>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</si>
  <si>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</si>
  <si>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</si>
  <si>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</si>
  <si>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</si>
  <si>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</si>
  <si>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</si>
  <si>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</si>
  <si>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</si>
  <si>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</si>
  <si>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</si>
  <si>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</si>
  <si>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</si>
  <si>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</si>
  <si>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</si>
  <si>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</si>
  <si>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</si>
  <si>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</si>
  <si>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</si>
  <si>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</si>
  <si>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</si>
  <si>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</si>
  <si>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</si>
  <si>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</si>
  <si>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</si>
  <si>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</si>
  <si>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</si>
  <si>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</si>
  <si>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</si>
  <si>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</si>
  <si>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</si>
  <si>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</si>
  <si>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</si>
  <si>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</si>
  <si>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</si>
  <si>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</si>
  <si>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</si>
  <si>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</si>
  <si>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</si>
  <si>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</si>
  <si>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</si>
  <si>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</si>
  <si>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</si>
  <si>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</si>
  <si>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</si>
  <si>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</si>
  <si>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</si>
  <si>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</si>
  <si>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</si>
  <si>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</si>
  <si>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</si>
  <si>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</si>
  <si>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</si>
  <si>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</si>
  <si>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</si>
  <si>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</si>
  <si>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</si>
  <si>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</si>
  <si>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</si>
  <si>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</si>
  <si>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</si>
  <si>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</si>
  <si>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</si>
  <si>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</si>
  <si>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</si>
  <si>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</si>
  <si>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</si>
  <si>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</si>
  <si>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</si>
  <si>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</si>
  <si>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</si>
  <si>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</si>
  <si>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</si>
  <si>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</si>
  <si>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</si>
  <si>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</si>
  <si>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</si>
  <si>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</si>
  <si>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</si>
  <si>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</si>
  <si>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</si>
  <si>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</si>
  <si>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</si>
  <si>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</si>
  <si>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</si>
  <si>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</si>
  <si>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</si>
  <si>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</si>
  <si>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</si>
  <si>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</si>
  <si>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</si>
  <si>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</si>
  <si>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</si>
  <si>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</si>
  <si>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</si>
  <si>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</si>
  <si>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</si>
  <si>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</si>
  <si>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</si>
  <si>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</si>
  <si>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</si>
  <si>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</si>
  <si>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</si>
  <si>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</si>
  <si>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</si>
  <si>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</si>
  <si>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</si>
  <si>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</si>
  <si>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</si>
  <si>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</si>
  <si>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</si>
  <si>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</si>
  <si>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</si>
  <si>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</si>
  <si>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</si>
  <si>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</si>
  <si>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</si>
  <si>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</si>
  <si>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</si>
  <si>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</si>
  <si>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</si>
  <si>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</si>
  <si>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</si>
  <si>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</si>
  <si>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</si>
  <si>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</si>
  <si>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</si>
  <si>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</si>
  <si>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</si>
  <si>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</si>
  <si>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</si>
  <si>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</si>
  <si>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</si>
  <si>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</si>
  <si>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</si>
  <si>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</si>
  <si>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</si>
  <si>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</si>
  <si>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</si>
  <si>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</si>
  <si>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</si>
  <si>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</si>
  <si>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</si>
  <si>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</si>
  <si>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</si>
  <si>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</si>
  <si>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</si>
  <si>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</si>
  <si>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</si>
  <si>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</si>
  <si>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</si>
  <si>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</si>
  <si>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</si>
  <si>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</si>
  <si>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</si>
  <si>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</si>
  <si>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</si>
  <si>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</si>
  <si>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</si>
  <si>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</si>
  <si>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</si>
  <si>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</si>
  <si>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</si>
  <si>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</si>
  <si>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</si>
  <si>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</si>
  <si>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</si>
  <si>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</si>
  <si>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</si>
  <si>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</si>
  <si>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</si>
  <si>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</si>
  <si>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</si>
  <si>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</si>
  <si>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</si>
  <si>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</si>
  <si>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</si>
  <si>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</si>
  <si>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</si>
  <si>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</si>
  <si>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</si>
  <si>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</si>
  <si>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</si>
  <si>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</si>
  <si>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</si>
  <si>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</si>
  <si>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</si>
  <si>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</si>
  <si>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</si>
  <si>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</si>
  <si>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</si>
  <si>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</si>
  <si>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</si>
  <si>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</si>
  <si>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</si>
  <si>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</si>
  <si>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</si>
  <si>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</si>
  <si>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</si>
  <si>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</si>
  <si>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</si>
  <si>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</si>
  <si>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</si>
  <si>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</si>
  <si>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</si>
  <si>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</si>
  <si>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</si>
  <si>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</si>
  <si>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</si>
  <si>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</si>
  <si>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</si>
  <si>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</si>
  <si>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</si>
  <si>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</si>
  <si>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</si>
  <si>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</si>
  <si>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</si>
  <si>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</si>
  <si>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</si>
  <si>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</si>
  <si>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</si>
  <si>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</si>
  <si>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</si>
  <si>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</si>
  <si>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</si>
  <si>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</si>
  <si>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</si>
  <si>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</si>
  <si>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</si>
  <si>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</si>
  <si>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</si>
  <si>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</si>
  <si>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</si>
  <si>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</si>
  <si>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</si>
  <si>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</si>
  <si>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</si>
  <si>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</si>
  <si>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</si>
  <si>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</si>
  <si>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</si>
  <si>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</si>
  <si>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</si>
  <si>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</si>
  <si>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</si>
  <si>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</si>
  <si>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</si>
  <si>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</si>
  <si>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</si>
  <si>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</si>
  <si>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</si>
  <si>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</si>
  <si>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</si>
  <si>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</si>
  <si>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</si>
  <si>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</si>
  <si>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</si>
  <si>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</si>
  <si>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</si>
  <si>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</si>
  <si>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</si>
  <si>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</si>
  <si>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</si>
  <si>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</si>
  <si>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</si>
  <si>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</si>
  <si>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</si>
  <si>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</si>
  <si>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</si>
  <si>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</si>
  <si>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</si>
  <si>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</si>
  <si>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</si>
  <si>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</si>
  <si>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</si>
  <si>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</si>
  <si>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</si>
  <si>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</si>
  <si>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</si>
  <si>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</si>
  <si>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</si>
  <si>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</si>
  <si>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</si>
  <si>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</si>
  <si>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</si>
  <si>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</si>
  <si>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</si>
  <si>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</si>
  <si>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</si>
  <si>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</si>
  <si>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</si>
  <si>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</si>
  <si>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</si>
  <si>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</si>
  <si>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</si>
  <si>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</si>
  <si>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</si>
  <si>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</si>
  <si>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</si>
  <si>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</si>
  <si>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</si>
  <si>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</si>
  <si>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</si>
  <si>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</si>
  <si>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</si>
  <si>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</si>
  <si>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</si>
  <si>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</si>
  <si>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</si>
  <si>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</si>
  <si>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</si>
  <si>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</si>
  <si>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</si>
  <si>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</si>
  <si>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</si>
  <si>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</si>
  <si>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</si>
  <si>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</si>
  <si>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</si>
  <si>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</si>
  <si>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</si>
  <si>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</si>
  <si>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</si>
  <si>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</si>
  <si>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</si>
  <si>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</si>
  <si>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</si>
  <si>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</si>
  <si>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</si>
  <si>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</si>
  <si>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</si>
  <si>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</si>
  <si>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</si>
  <si>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</si>
  <si>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</si>
  <si>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</si>
  <si>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</si>
  <si>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</si>
  <si>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</si>
  <si>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</si>
  <si>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</si>
  <si>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</si>
  <si>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</si>
  <si>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</si>
  <si>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</si>
  <si>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</si>
  <si>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</si>
  <si>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</si>
  <si>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</si>
  <si>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</si>
  <si>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</si>
  <si>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</si>
  <si>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</si>
  <si>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</si>
  <si>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</si>
  <si>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</si>
  <si>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</si>
  <si>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</si>
  <si>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</si>
  <si>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</si>
  <si>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</si>
  <si>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</si>
  <si>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</si>
  <si>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</si>
  <si>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</si>
  <si>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</si>
  <si>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</si>
  <si>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</si>
  <si>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</si>
  <si>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</si>
  <si>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</si>
  <si>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</si>
  <si>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</si>
  <si>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</si>
  <si>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</si>
  <si>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</si>
  <si>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</si>
  <si>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</si>
  <si>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</si>
  <si>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</si>
  <si>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</si>
  <si>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</si>
  <si>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</si>
  <si>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</si>
  <si>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</si>
  <si>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</si>
  <si>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</si>
  <si>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</si>
  <si>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</si>
  <si>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</si>
  <si>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</si>
  <si>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</si>
  <si>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</si>
  <si>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</si>
  <si>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</si>
  <si>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</si>
  <si>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</si>
  <si>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</si>
  <si>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</si>
  <si>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</si>
  <si>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</si>
  <si>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</si>
  <si>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</si>
  <si>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</si>
  <si>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</si>
  <si>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</si>
  <si>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</si>
  <si>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</si>
  <si>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</si>
  <si>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</si>
  <si>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</si>
  <si>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</si>
  <si>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</si>
  <si>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</si>
  <si>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</si>
  <si>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</si>
  <si>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</si>
  <si>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</si>
  <si>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</si>
  <si>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</si>
  <si>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</si>
  <si>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</si>
  <si>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</si>
  <si>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</si>
  <si>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</si>
  <si>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</si>
  <si>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</si>
  <si>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</si>
  <si>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</si>
  <si>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</si>
  <si>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</si>
  <si>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</si>
  <si>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</si>
  <si>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</si>
  <si>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</si>
  <si>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</si>
  <si>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</si>
  <si>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</si>
  <si>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</si>
  <si>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</si>
  <si>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</si>
  <si>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</si>
  <si>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</si>
  <si>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</si>
  <si>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</si>
  <si>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</si>
  <si>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</si>
  <si>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</si>
  <si>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</si>
  <si>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</si>
  <si>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</si>
  <si>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</si>
  <si>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</si>
  <si>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</si>
  <si>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</si>
  <si>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</si>
  <si>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</si>
  <si>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</si>
  <si>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</si>
  <si>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</si>
  <si>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</si>
  <si>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</si>
  <si>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</si>
  <si>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</si>
  <si>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</si>
  <si>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</si>
  <si>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</si>
  <si>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</si>
  <si>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</si>
  <si>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</si>
  <si>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</si>
  <si>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</si>
  <si>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</si>
  <si>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</si>
  <si>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</si>
  <si>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</si>
  <si>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</si>
  <si>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</si>
  <si>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</si>
  <si>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</si>
  <si>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</si>
  <si>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</si>
  <si>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</si>
  <si>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</si>
  <si>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</si>
  <si>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</si>
  <si>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</si>
  <si>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</si>
  <si>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</si>
  <si>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</si>
  <si>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</si>
  <si>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</si>
  <si>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</si>
  <si>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</si>
  <si>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</si>
  <si>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</si>
  <si>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</si>
  <si>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</si>
  <si>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</si>
  <si>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</si>
  <si>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</si>
  <si>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</si>
  <si>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</si>
  <si>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</si>
  <si>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</si>
  <si>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</si>
  <si>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</si>
  <si>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</si>
  <si>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</si>
  <si>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</si>
  <si>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</si>
  <si>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</si>
  <si>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</si>
  <si>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</si>
  <si>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</si>
  <si>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</si>
  <si>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</si>
  <si>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</si>
  <si>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</si>
  <si>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</si>
  <si>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</si>
  <si>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</si>
  <si>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</si>
  <si>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</si>
  <si>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</si>
  <si>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</si>
  <si>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</si>
  <si>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</si>
  <si>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</si>
  <si>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</si>
  <si>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</si>
  <si>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</si>
  <si>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</si>
  <si>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</si>
  <si>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</si>
  <si>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</si>
  <si>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</si>
  <si>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</si>
  <si>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</si>
  <si>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</si>
  <si>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</si>
  <si>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</si>
  <si>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</si>
  <si>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</si>
  <si>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</si>
  <si>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</si>
  <si>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</si>
  <si>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</si>
  <si>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</si>
  <si>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</si>
  <si>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</si>
  <si>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</si>
  <si>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</si>
  <si>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</si>
  <si>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</si>
  <si>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</si>
  <si>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</si>
  <si>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</si>
  <si>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</si>
  <si>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</si>
  <si>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</si>
  <si>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</si>
  <si>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</si>
  <si>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</si>
  <si>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</si>
  <si>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</si>
  <si>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</si>
  <si>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</si>
  <si>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</si>
  <si>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</si>
  <si>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</si>
  <si>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</si>
  <si>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</si>
  <si>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</si>
  <si>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</si>
  <si>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</si>
  <si>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</si>
  <si>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</si>
  <si>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</si>
  <si>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</si>
  <si>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</si>
  <si>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</si>
  <si>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</si>
  <si>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</si>
  <si>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</si>
  <si>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</si>
  <si>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</si>
  <si>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</si>
  <si>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</si>
  <si>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</si>
  <si>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</si>
  <si>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</si>
  <si>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</si>
  <si>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</si>
  <si>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</si>
  <si>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</si>
  <si>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</si>
  <si>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</si>
  <si>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</si>
  <si>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</si>
  <si>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</si>
  <si>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</si>
  <si>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</si>
  <si>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</si>
  <si>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</si>
  <si>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</si>
  <si>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</si>
  <si>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</si>
  <si>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</si>
  <si>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</si>
  <si>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</si>
  <si>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</si>
  <si>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</si>
  <si>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</si>
  <si>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</si>
  <si>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</si>
  <si>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</si>
  <si>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</si>
  <si>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</si>
  <si>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</si>
  <si>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</si>
  <si>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</si>
  <si>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</si>
  <si>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</si>
  <si>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</si>
  <si>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</si>
  <si>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</si>
  <si>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</si>
  <si>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</si>
  <si>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</si>
  <si>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</si>
  <si>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</si>
  <si>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</si>
  <si>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</si>
  <si>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</si>
  <si>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</si>
  <si>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</si>
  <si>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</si>
  <si>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</si>
  <si>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</si>
  <si>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</si>
  <si>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</si>
  <si>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</si>
  <si>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</si>
  <si>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</si>
  <si>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</si>
  <si>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</si>
  <si>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</si>
  <si>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</si>
  <si>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</si>
  <si>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</si>
  <si>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</si>
  <si>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</si>
  <si>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</si>
  <si>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</si>
  <si>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</si>
  <si>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</si>
  <si>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</si>
  <si>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</si>
  <si>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</si>
  <si>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</si>
  <si>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</si>
  <si>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</si>
  <si>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</si>
  <si>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</si>
  <si>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</si>
  <si>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</si>
  <si>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</si>
  <si>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</si>
  <si>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</si>
  <si>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</si>
  <si>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</si>
  <si>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</si>
  <si>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</si>
  <si>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</si>
  <si>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</si>
  <si>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</si>
  <si>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</si>
  <si>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</si>
  <si>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</si>
  <si>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</si>
  <si>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</si>
  <si>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</si>
  <si>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</si>
  <si>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</si>
  <si>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</si>
  <si>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</si>
  <si>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</si>
  <si>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</si>
  <si>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</si>
  <si>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</si>
  <si>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</si>
  <si>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</si>
  <si>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</si>
  <si>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</si>
  <si>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</si>
  <si>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</si>
  <si>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</si>
  <si>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</si>
  <si>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</si>
  <si>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</si>
  <si>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</si>
  <si>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</si>
  <si>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</si>
  <si>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</si>
  <si>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</si>
  <si>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</si>
  <si>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</si>
  <si>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</si>
  <si>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</si>
  <si>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</si>
  <si>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</si>
  <si>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</si>
  <si>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</si>
  <si>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</si>
  <si>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</si>
  <si>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</si>
  <si>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</si>
  <si>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</si>
  <si>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</si>
  <si>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</si>
  <si>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</si>
  <si>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</si>
  <si>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</si>
  <si>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</si>
  <si>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</si>
  <si>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</si>
  <si>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</si>
  <si>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</si>
  <si>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</si>
  <si>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</si>
  <si>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</si>
  <si>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</si>
  <si>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</si>
  <si>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</si>
  <si>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</si>
  <si>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</si>
  <si>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</si>
  <si>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</si>
  <si>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</si>
  <si>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</si>
  <si>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</si>
  <si>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</si>
  <si>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</si>
  <si>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</si>
  <si>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</si>
  <si>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</si>
  <si>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</si>
  <si>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</si>
  <si>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</si>
  <si>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</si>
  <si>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</si>
  <si>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</si>
  <si>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</si>
  <si>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</si>
  <si>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</si>
  <si>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</si>
  <si>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</si>
  <si>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</si>
  <si>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</si>
  <si>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</si>
  <si>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</si>
  <si>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</si>
  <si>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</si>
  <si>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</si>
  <si>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</si>
  <si>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</si>
  <si>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</si>
  <si>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</si>
  <si>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</si>
  <si>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</si>
  <si>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</si>
  <si>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</si>
  <si>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</si>
  <si>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</si>
  <si>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</si>
  <si>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</si>
  <si>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</si>
  <si>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</si>
  <si>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</si>
  <si>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</si>
  <si>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</si>
  <si>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</si>
  <si>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</si>
  <si>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</si>
  <si>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</si>
  <si>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</si>
  <si>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</si>
  <si>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</si>
  <si>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</si>
  <si>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</si>
  <si>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</si>
  <si>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</si>
  <si>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</si>
  <si>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</si>
  <si>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</si>
  <si>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</si>
  <si>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</si>
  <si>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</si>
  <si>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</si>
  <si>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</si>
  <si>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</si>
  <si>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</si>
  <si>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</si>
  <si>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</si>
  <si>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</si>
  <si>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</si>
  <si>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</si>
  <si>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</si>
  <si>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</si>
  <si>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</si>
  <si>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</si>
  <si>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</si>
  <si>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</si>
  <si>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</si>
  <si>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</si>
  <si>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</si>
  <si>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</si>
  <si>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</si>
  <si>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</si>
  <si>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</si>
  <si>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</si>
  <si>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</si>
  <si>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</si>
  <si>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</si>
  <si>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</si>
  <si>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</si>
  <si>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</si>
  <si>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</si>
  <si>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</si>
  <si>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</si>
  <si>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</si>
  <si>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</si>
  <si>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</si>
  <si>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</si>
  <si>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</si>
  <si>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</si>
  <si>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</si>
  <si>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</si>
  <si>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</si>
  <si>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</si>
  <si>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</si>
  <si>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</si>
  <si>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</si>
  <si>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</si>
  <si>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</si>
  <si>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</si>
  <si>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</si>
  <si>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</si>
  <si>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</si>
  <si>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</si>
  <si>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</si>
  <si>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</si>
  <si>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</si>
  <si>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</si>
  <si>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</si>
  <si>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</si>
  <si>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</si>
  <si>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</si>
  <si>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</si>
  <si>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</si>
  <si>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</si>
  <si>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</si>
  <si>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</si>
  <si>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</si>
  <si>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</si>
  <si>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</si>
  <si>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</si>
  <si>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</si>
  <si>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</si>
  <si>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</si>
  <si>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</si>
  <si>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</si>
  <si>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</si>
  <si>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</si>
  <si>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</si>
  <si>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</si>
  <si>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</si>
  <si>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</si>
  <si>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</si>
  <si>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</si>
  <si>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</si>
  <si>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</si>
  <si>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</si>
  <si>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</si>
  <si>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</si>
  <si>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</si>
  <si>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</si>
  <si>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</si>
  <si>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</si>
  <si>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</si>
  <si>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</si>
  <si>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</si>
  <si>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</si>
  <si>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</si>
  <si>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</si>
  <si>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</si>
  <si>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</si>
  <si>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</si>
  <si>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</si>
  <si>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</si>
  <si>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</si>
  <si>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</si>
  <si>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</si>
  <si>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</si>
  <si>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</si>
  <si>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</si>
  <si>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</si>
  <si>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</si>
  <si>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</si>
  <si>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</si>
  <si>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</si>
  <si>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</si>
  <si>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</si>
  <si>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</si>
  <si>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</si>
  <si>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</si>
  <si>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</si>
  <si>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</si>
  <si>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</si>
  <si>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</si>
  <si>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</si>
  <si>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</si>
  <si>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</si>
  <si>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</si>
  <si>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</si>
  <si>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</si>
  <si>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</si>
  <si>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</si>
  <si>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</si>
  <si>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</si>
  <si>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</si>
  <si>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</si>
  <si>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</si>
  <si>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</si>
  <si>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</si>
  <si>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</si>
  <si>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</si>
  <si>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</si>
  <si>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</si>
  <si>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</si>
  <si>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</si>
  <si>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</si>
  <si>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</si>
  <si>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</si>
  <si>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</si>
  <si>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</si>
  <si>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</si>
  <si>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</si>
  <si>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</si>
  <si>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</si>
  <si>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</si>
  <si>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</si>
  <si>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</si>
  <si>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</si>
  <si>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</si>
  <si>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</si>
  <si>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</si>
  <si>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</si>
  <si>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</si>
  <si>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</si>
  <si>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</si>
  <si>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</si>
  <si>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</si>
  <si>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</si>
  <si>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</si>
  <si>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</si>
  <si>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</si>
  <si>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</si>
  <si>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</si>
  <si>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</si>
  <si>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</si>
  <si>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</si>
  <si>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</si>
  <si>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</si>
  <si>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</si>
  <si>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</si>
  <si>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</si>
  <si>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</si>
  <si>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</si>
  <si>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</si>
  <si>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</si>
  <si>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</si>
  <si>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</si>
  <si>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</si>
  <si>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</si>
  <si>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</si>
  <si>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</si>
  <si>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</si>
  <si>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</si>
  <si>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</si>
  <si>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</si>
  <si>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</si>
  <si>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</si>
  <si>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</si>
  <si>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</si>
  <si>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</si>
  <si>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</si>
  <si>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</si>
  <si>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</si>
  <si>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</si>
  <si>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</si>
  <si>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</si>
  <si>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</si>
  <si>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</si>
  <si>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</si>
  <si>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</si>
  <si>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</si>
  <si>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</si>
  <si>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</si>
  <si>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</si>
  <si>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</si>
  <si>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</si>
  <si>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</si>
  <si>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</si>
  <si>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</si>
  <si>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</si>
  <si>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</si>
  <si>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</si>
  <si>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</si>
  <si>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</si>
  <si>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</si>
  <si>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</si>
  <si>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</si>
  <si>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</si>
  <si>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</si>
  <si>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</si>
  <si>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</si>
  <si>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</si>
  <si>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</si>
  <si>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</si>
  <si>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</si>
  <si>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</si>
  <si>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</si>
  <si>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</si>
  <si>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</si>
  <si>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</si>
  <si>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</si>
  <si>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</si>
  <si>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</si>
  <si>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</si>
  <si>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</si>
  <si>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</si>
  <si>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</si>
  <si>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</si>
  <si>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</si>
  <si>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</si>
  <si>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</si>
  <si>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</si>
  <si>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</si>
  <si>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</si>
  <si>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</si>
  <si>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</si>
  <si>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</si>
  <si>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</si>
  <si>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</si>
  <si>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</si>
  <si>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</si>
  <si>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</si>
  <si>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</si>
  <si>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</si>
  <si>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</si>
  <si>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</si>
  <si>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</si>
  <si>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</si>
  <si>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</si>
  <si>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</si>
  <si>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</si>
  <si>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</si>
  <si>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</si>
  <si>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</si>
  <si>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</si>
  <si>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</si>
  <si>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</si>
  <si>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</si>
  <si>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</si>
  <si>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</si>
  <si>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</si>
  <si>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</si>
  <si>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</si>
  <si>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</si>
  <si>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</si>
  <si>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</si>
  <si>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</si>
  <si>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</si>
  <si>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</si>
  <si>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</si>
  <si>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</si>
  <si>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</si>
  <si>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</si>
  <si>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</si>
  <si>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</si>
  <si>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</si>
  <si>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</si>
  <si>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</si>
  <si>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</si>
  <si>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</si>
  <si>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</si>
  <si>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</si>
  <si>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</si>
  <si>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</si>
  <si>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</si>
  <si>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</si>
  <si>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</si>
  <si>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</si>
  <si>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</si>
  <si>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</si>
  <si>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</si>
  <si>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</si>
  <si>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</si>
  <si>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</si>
  <si>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</si>
  <si>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</si>
  <si>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</si>
  <si>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</si>
  <si>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</si>
  <si>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</si>
  <si>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</si>
  <si>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</si>
  <si>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</si>
  <si>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</si>
  <si>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</si>
  <si>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</si>
  <si>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</si>
  <si>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</si>
  <si>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</si>
  <si>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</si>
  <si>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</si>
  <si>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</si>
  <si>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</si>
  <si>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</si>
  <si>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</si>
  <si>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</si>
  <si>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</si>
  <si>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</si>
  <si>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</si>
  <si>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</si>
  <si>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</si>
  <si>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</si>
  <si>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</si>
  <si>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</si>
  <si>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</si>
  <si>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</si>
  <si>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</si>
  <si>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</si>
  <si>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</si>
  <si>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</si>
  <si>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</si>
  <si>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</si>
  <si>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</si>
  <si>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</si>
  <si>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</si>
  <si>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</si>
  <si>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</si>
  <si>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</si>
  <si>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</si>
  <si>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</si>
  <si>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</si>
  <si>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</si>
  <si>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</si>
  <si>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</si>
  <si>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</si>
  <si>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</si>
  <si>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</si>
  <si>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</si>
  <si>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</si>
  <si>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</si>
  <si>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</si>
  <si>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</si>
  <si>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</si>
  <si>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</si>
  <si>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</si>
  <si>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</si>
  <si>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</si>
  <si>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</si>
  <si>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</si>
  <si>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</si>
  <si>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</si>
  <si>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</si>
  <si>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</si>
  <si>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</si>
  <si>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</si>
  <si>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</si>
  <si>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</si>
  <si>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</si>
  <si>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</si>
  <si>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</si>
  <si>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</si>
  <si>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</si>
  <si>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</si>
  <si>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</si>
  <si>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</si>
  <si>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</si>
  <si>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</si>
  <si>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</si>
  <si>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</si>
  <si>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</si>
  <si>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</si>
  <si>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</si>
  <si>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</si>
  <si>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</si>
  <si>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</si>
  <si>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</si>
  <si>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</si>
  <si>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</si>
  <si>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</si>
  <si>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</si>
  <si>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</si>
  <si>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</si>
  <si>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</si>
  <si>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</si>
  <si>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</si>
  <si>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</si>
  <si>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</si>
  <si>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</si>
  <si>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</si>
  <si>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</si>
  <si>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</si>
  <si>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</si>
  <si>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</si>
  <si>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</si>
  <si>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</si>
  <si>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</si>
  <si>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</si>
  <si>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</si>
  <si>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</si>
  <si>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</si>
  <si>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</si>
  <si>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</si>
  <si>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</si>
  <si>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</si>
  <si>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</si>
  <si>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</si>
  <si>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</si>
  <si>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</si>
  <si>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</si>
  <si>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</si>
  <si>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</si>
  <si>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</si>
  <si>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</si>
  <si>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</si>
  <si>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</si>
  <si>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</si>
  <si>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</si>
  <si>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</si>
  <si>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</si>
  <si>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</si>
  <si>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</si>
  <si>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</si>
  <si>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</si>
  <si>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</si>
  <si>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</si>
  <si>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</si>
  <si>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</si>
  <si>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</si>
  <si>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</si>
  <si>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</si>
  <si>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</si>
  <si>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</si>
  <si>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</si>
  <si>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</si>
  <si>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</si>
  <si>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</si>
  <si>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</si>
  <si>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</si>
  <si>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</si>
  <si>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</si>
  <si>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</si>
  <si>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</si>
  <si>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</si>
  <si>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</si>
  <si>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</si>
  <si>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</si>
  <si>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</si>
  <si>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</si>
  <si>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</si>
  <si>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</si>
  <si>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</si>
  <si>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</si>
  <si>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</si>
  <si>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</si>
  <si>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</si>
  <si>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</si>
  <si>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</si>
  <si>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</si>
  <si>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</si>
  <si>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</si>
  <si>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</si>
  <si>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</si>
  <si>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</si>
  <si>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</si>
  <si>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</si>
  <si>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</si>
  <si>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</si>
  <si>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</si>
  <si>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</si>
  <si>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</si>
  <si>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</si>
  <si>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</si>
  <si>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</si>
  <si>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</si>
  <si>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</si>
  <si>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</si>
  <si>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</si>
  <si>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</si>
  <si>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</si>
  <si>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</si>
  <si>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</si>
  <si>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</si>
  <si>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</si>
  <si>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</si>
  <si>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</si>
  <si>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</si>
  <si>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</si>
  <si>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</si>
  <si>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</si>
  <si>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</si>
  <si>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</si>
  <si>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</si>
  <si>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</si>
  <si>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</si>
  <si>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</si>
  <si>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</si>
  <si>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</si>
  <si>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</si>
  <si>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</si>
  <si>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</si>
  <si>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</si>
  <si>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</si>
  <si>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</si>
  <si>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</si>
  <si>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</si>
  <si>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</si>
  <si>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</si>
  <si>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</si>
  <si>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</si>
  <si>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</si>
  <si>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</si>
  <si>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</si>
  <si>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</si>
  <si>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</si>
  <si>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</si>
  <si>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</si>
  <si>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</si>
  <si>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</si>
  <si>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</si>
  <si>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</si>
  <si>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</si>
  <si>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</si>
  <si>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</si>
  <si>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</si>
  <si>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</si>
  <si>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</si>
  <si>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</si>
  <si>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</si>
  <si>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</si>
  <si>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</si>
  <si>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</si>
  <si>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</si>
  <si>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</si>
  <si>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</si>
  <si>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</si>
  <si>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</si>
  <si>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</si>
  <si>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</si>
  <si>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</si>
  <si>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</si>
  <si>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</si>
  <si>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</si>
  <si>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</si>
  <si>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</si>
  <si>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</si>
  <si>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</si>
  <si>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</si>
  <si>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</si>
  <si>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</si>
  <si>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</si>
  <si>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</si>
  <si>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</si>
  <si>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</si>
  <si>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</si>
  <si>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</si>
  <si>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</si>
  <si>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</si>
  <si>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</si>
  <si>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</si>
  <si>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</si>
  <si>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</si>
  <si>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</si>
  <si>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</si>
  <si>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</si>
  <si>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</si>
  <si>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</si>
  <si>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</si>
  <si>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</si>
  <si>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</si>
  <si>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</si>
  <si>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</si>
  <si>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</si>
  <si>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</si>
  <si>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</si>
  <si>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</si>
  <si>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</si>
  <si>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</si>
  <si>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</si>
  <si>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</si>
  <si>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</si>
  <si>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</si>
  <si>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</si>
  <si>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</si>
  <si>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</si>
  <si>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</si>
  <si>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</si>
  <si>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</si>
  <si>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</si>
  <si>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</si>
  <si>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</si>
  <si>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</si>
  <si>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</si>
  <si>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</si>
  <si>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</si>
  <si>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</si>
  <si>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</si>
  <si>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</si>
  <si>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</si>
  <si>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</si>
  <si>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</si>
  <si>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</si>
  <si>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</si>
  <si>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</si>
  <si>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</si>
  <si>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</si>
  <si>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</si>
  <si>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</si>
  <si>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</si>
  <si>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</si>
  <si>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</si>
  <si>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</si>
  <si>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</si>
  <si>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</si>
  <si>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</si>
  <si>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</si>
  <si>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</si>
  <si>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</si>
  <si>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</si>
  <si>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</si>
  <si>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</si>
  <si>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</si>
  <si>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</si>
  <si>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</si>
  <si>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</si>
  <si>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</si>
  <si>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</si>
  <si>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</si>
  <si>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</si>
  <si>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</si>
  <si>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</si>
  <si>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</si>
  <si>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</si>
  <si>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</si>
  <si>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</si>
  <si>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</si>
  <si>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</si>
  <si>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</si>
  <si>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</si>
  <si>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</si>
  <si>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</si>
  <si>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</si>
  <si>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</si>
  <si>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</si>
  <si>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</si>
  <si>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</si>
  <si>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</si>
  <si>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</si>
  <si>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</si>
  <si>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</si>
  <si>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</si>
  <si>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</si>
  <si>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</si>
  <si>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</si>
  <si>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</si>
  <si>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</si>
  <si>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</si>
  <si>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</si>
  <si>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</si>
  <si>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</si>
  <si>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</si>
  <si>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</si>
  <si>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</si>
  <si>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</si>
  <si>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</si>
  <si>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</si>
  <si>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</si>
  <si>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</si>
  <si>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</si>
  <si>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</si>
  <si>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</si>
  <si>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</si>
  <si>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</si>
  <si>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</si>
  <si>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</si>
  <si>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</si>
  <si>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</si>
  <si>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</si>
  <si>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</si>
  <si>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</si>
  <si>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</si>
  <si>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</si>
  <si>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</si>
  <si>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</si>
  <si>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</si>
  <si>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</si>
  <si>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</si>
  <si>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</si>
  <si>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</si>
  <si>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</si>
  <si>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</si>
  <si>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</si>
  <si>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</si>
  <si>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</si>
  <si>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</si>
  <si>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</si>
  <si>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</si>
  <si>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</si>
  <si>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</si>
  <si>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</si>
  <si>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</si>
  <si>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</si>
  <si>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</si>
  <si>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</si>
  <si>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</si>
  <si>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</si>
  <si>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</si>
  <si>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</si>
  <si>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</si>
  <si>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</si>
  <si>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</si>
  <si>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</si>
  <si>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</si>
  <si>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</si>
  <si>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</si>
  <si>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</si>
  <si>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</si>
  <si>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</si>
  <si>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</si>
  <si>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</si>
  <si>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</si>
  <si>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</si>
  <si>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</si>
  <si>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</si>
  <si>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</si>
  <si>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</si>
  <si>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</si>
  <si>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</si>
  <si>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</si>
  <si>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</si>
  <si>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</si>
  <si>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</si>
  <si>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</si>
  <si>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</si>
  <si>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</si>
  <si>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</si>
  <si>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</si>
  <si>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</si>
  <si>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</si>
  <si>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</si>
  <si>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</si>
  <si>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</si>
  <si>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</si>
  <si>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</si>
  <si>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</si>
  <si>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</si>
  <si>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</si>
  <si>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</si>
  <si>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</si>
  <si>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</si>
  <si>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</si>
  <si>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</si>
  <si>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</si>
  <si>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</si>
  <si>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</si>
  <si>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</si>
  <si>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</si>
  <si>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</si>
  <si>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</si>
  <si>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</si>
  <si>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</si>
  <si>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</si>
  <si>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</si>
  <si>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</si>
  <si>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</si>
  <si>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</si>
  <si>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</si>
  <si>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</si>
  <si>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</si>
  <si>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</si>
  <si>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</si>
  <si>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</si>
  <si>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</si>
  <si>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</si>
  <si>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</si>
  <si>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</si>
  <si>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</si>
  <si>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</si>
  <si>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</si>
  <si>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</si>
  <si>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</si>
  <si>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</si>
  <si>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</si>
  <si>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</si>
  <si>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</si>
  <si>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</si>
  <si>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</si>
  <si>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</si>
  <si>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</si>
  <si>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</si>
  <si>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</si>
  <si>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</si>
  <si>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</si>
  <si>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</si>
  <si>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</si>
  <si>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</si>
  <si>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</si>
  <si>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</si>
  <si>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</si>
  <si>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</si>
  <si>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</si>
  <si>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</si>
  <si>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</si>
  <si>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</si>
  <si>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</si>
  <si>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</si>
  <si>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</si>
  <si>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</si>
  <si>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</si>
  <si>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</si>
  <si>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</si>
  <si>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</si>
  <si>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</si>
  <si>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</si>
  <si>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</si>
  <si>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</si>
  <si>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</si>
  <si>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</si>
  <si>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</si>
  <si>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</si>
  <si>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</si>
  <si>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</si>
  <si>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</si>
  <si>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</si>
  <si>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</si>
  <si>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</si>
  <si>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</si>
  <si>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</si>
  <si>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</si>
  <si>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</si>
  <si>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</si>
  <si>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</si>
  <si>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</si>
  <si>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</si>
  <si>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</si>
  <si>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</si>
  <si>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</si>
  <si>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</si>
  <si>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</si>
  <si>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</si>
  <si>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</si>
  <si>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</si>
  <si>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</si>
  <si>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</si>
  <si>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</si>
  <si>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</si>
  <si>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</si>
  <si>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</si>
  <si>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</si>
  <si>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</si>
  <si>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</si>
  <si>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</si>
  <si>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</si>
  <si>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</si>
  <si>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</si>
  <si>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</si>
  <si>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</si>
  <si>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</si>
  <si>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</si>
  <si>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</si>
  <si>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</si>
  <si>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</si>
  <si>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</si>
  <si>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</si>
  <si>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</si>
  <si>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</si>
  <si>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</si>
  <si>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</si>
  <si>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</si>
  <si>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</si>
  <si>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</si>
  <si>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</si>
  <si>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</si>
  <si>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</si>
  <si>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</si>
  <si>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</si>
  <si>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</si>
  <si>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</si>
  <si>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</si>
  <si>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</si>
  <si>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</si>
  <si>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</si>
  <si>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</si>
  <si>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</si>
  <si>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</si>
  <si>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</si>
  <si>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</si>
  <si>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</si>
  <si>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</si>
  <si>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</si>
  <si>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</si>
  <si>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</si>
  <si>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</si>
  <si>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</si>
  <si>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</si>
  <si>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</si>
  <si>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</si>
  <si>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</si>
  <si>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</si>
  <si>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</si>
  <si>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</si>
  <si>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</si>
  <si>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</si>
  <si>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</si>
  <si>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</si>
  <si>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</si>
  <si>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</si>
  <si>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</si>
  <si>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</si>
  <si>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</si>
  <si>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</si>
  <si>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</si>
  <si>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</si>
  <si>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</si>
  <si>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</si>
  <si>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</si>
  <si>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</si>
  <si>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</si>
  <si>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</si>
  <si>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</si>
  <si>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</si>
  <si>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</si>
  <si>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</si>
  <si>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</si>
  <si>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</si>
  <si>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</si>
  <si>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</si>
  <si>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</si>
  <si>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</si>
  <si>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</si>
  <si>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</si>
  <si>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</si>
  <si>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</si>
  <si>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</si>
  <si>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</si>
  <si>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</si>
  <si>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</si>
  <si>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</si>
  <si>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</si>
  <si>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</si>
  <si>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</si>
  <si>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</si>
  <si>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</si>
  <si>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</si>
  <si>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</si>
  <si>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</si>
  <si>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</si>
  <si>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</si>
  <si>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</si>
  <si>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</si>
  <si>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</si>
  <si>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</si>
  <si>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</si>
  <si>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</si>
  <si>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</si>
  <si>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</si>
  <si>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</si>
  <si>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</si>
  <si>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</si>
  <si>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</si>
  <si>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</si>
  <si>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</si>
  <si>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</si>
  <si>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</si>
  <si>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</si>
  <si>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</si>
  <si>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</si>
  <si>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</si>
  <si>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</si>
  <si>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</si>
  <si>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</si>
  <si>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</si>
  <si>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</si>
  <si>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</si>
  <si>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</si>
  <si>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</si>
  <si>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</si>
  <si>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</si>
  <si>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</si>
  <si>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</si>
  <si>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</si>
  <si>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</si>
  <si>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</si>
  <si>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</si>
  <si>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</si>
  <si>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</si>
  <si>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</si>
  <si>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</si>
  <si>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</si>
  <si>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</si>
  <si>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</si>
  <si>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</si>
  <si>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</si>
  <si>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</si>
  <si>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</si>
  <si>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</si>
  <si>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</si>
  <si>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</si>
  <si>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</si>
  <si>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</si>
  <si>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</si>
  <si>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</si>
  <si>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</si>
  <si>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</si>
  <si>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</si>
  <si>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</si>
  <si>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</si>
  <si>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</si>
  <si>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</si>
  <si>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</si>
  <si>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</si>
  <si>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</si>
  <si>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</si>
  <si>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</si>
  <si>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</si>
  <si>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</si>
  <si>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</si>
  <si>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</si>
  <si>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</si>
  <si>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</si>
  <si>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</si>
  <si>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</si>
  <si>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</si>
  <si>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</si>
  <si>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</si>
  <si>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</si>
  <si>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</si>
  <si>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</si>
  <si>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</si>
  <si>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</si>
  <si>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</si>
  <si>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</si>
  <si>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</si>
  <si>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</si>
  <si>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</si>
  <si>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</si>
  <si>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</si>
  <si>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</si>
  <si>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</si>
  <si>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</si>
  <si>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</si>
  <si>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</si>
  <si>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</si>
  <si>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</si>
  <si>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</si>
  <si>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</si>
  <si>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</si>
  <si>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</si>
  <si>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</si>
  <si>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</si>
  <si>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</si>
  <si>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</si>
  <si>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</si>
  <si>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</si>
  <si>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</si>
  <si>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</si>
  <si>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</si>
  <si>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</si>
  <si>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</si>
  <si>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</si>
  <si>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</si>
  <si>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</si>
  <si>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</si>
  <si>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</si>
  <si>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</si>
  <si>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</si>
  <si>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</si>
  <si>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</si>
  <si>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</si>
  <si>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</si>
  <si>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</si>
  <si>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</si>
  <si>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</si>
  <si>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</si>
  <si>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</si>
  <si>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</si>
  <si>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</si>
  <si>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</si>
  <si>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</si>
  <si>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</si>
  <si>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</si>
  <si>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</si>
  <si>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</si>
  <si>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</si>
  <si>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</si>
  <si>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</si>
  <si>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</si>
  <si>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</si>
  <si>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</si>
  <si>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</si>
  <si>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</si>
  <si>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</si>
  <si>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</si>
  <si>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</si>
  <si>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</si>
  <si>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</si>
  <si>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</si>
  <si>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</si>
  <si>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</si>
  <si>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</si>
  <si>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</si>
  <si>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</si>
  <si>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</si>
  <si>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</si>
  <si>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</si>
  <si>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</si>
  <si>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</si>
  <si>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</si>
  <si>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</si>
  <si>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</si>
  <si>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</si>
  <si>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</si>
  <si>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</si>
  <si>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</si>
  <si>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</si>
  <si>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</si>
  <si>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</si>
  <si>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</si>
  <si>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</si>
  <si>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</si>
  <si>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</si>
  <si>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</si>
  <si>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</si>
  <si>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</si>
  <si>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</si>
  <si>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</si>
  <si>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</si>
  <si>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</si>
  <si>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</si>
  <si>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</si>
  <si>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</si>
  <si>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</si>
  <si>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</si>
  <si>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</si>
  <si>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</si>
  <si>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</si>
  <si>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</si>
  <si>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</si>
  <si>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</si>
  <si>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</si>
  <si>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</si>
  <si>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</si>
  <si>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</si>
  <si>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</si>
  <si>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</si>
  <si>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</si>
  <si>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</si>
  <si>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</si>
  <si>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</si>
  <si>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</si>
  <si>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</si>
  <si>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</si>
  <si>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</si>
  <si>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</si>
  <si>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</si>
  <si>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</si>
  <si>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</si>
  <si>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</si>
  <si>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</si>
  <si>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</si>
  <si>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</si>
  <si>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</si>
  <si>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</si>
  <si>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</si>
  <si>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</si>
  <si>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</si>
  <si>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</si>
  <si>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</si>
  <si>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</si>
  <si>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</si>
  <si>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</si>
  <si>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</si>
  <si>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</si>
  <si>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</si>
  <si>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</si>
  <si>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</si>
  <si>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</si>
  <si>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</si>
  <si>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</si>
  <si>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</si>
  <si>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</si>
  <si>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</si>
  <si>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</si>
  <si>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</si>
  <si>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</si>
  <si>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</si>
  <si>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</si>
  <si>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</si>
  <si>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</si>
  <si>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</si>
  <si>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</si>
  <si>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</si>
  <si>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</si>
  <si>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</si>
  <si>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</si>
  <si>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</si>
  <si>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</si>
  <si>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</si>
  <si>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</si>
  <si>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</si>
  <si>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</si>
  <si>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</si>
  <si>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</si>
  <si>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</si>
  <si>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</si>
  <si>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</si>
  <si>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</si>
  <si>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</si>
  <si>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</si>
  <si>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</si>
  <si>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</si>
  <si>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</si>
  <si>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</si>
  <si>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</si>
  <si>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</si>
  <si>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</si>
  <si>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</si>
  <si>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</si>
  <si>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</si>
  <si>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</si>
  <si>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</si>
  <si>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</si>
  <si>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</si>
  <si>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</si>
  <si>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</si>
  <si>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</si>
  <si>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</si>
  <si>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</si>
  <si>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</si>
  <si>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</si>
  <si>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</si>
  <si>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</si>
  <si>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</si>
  <si>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</si>
  <si>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</si>
  <si>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</si>
  <si>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</si>
  <si>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</si>
  <si>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</si>
  <si>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</si>
  <si>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</si>
  <si>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</si>
  <si>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</si>
  <si>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</si>
  <si>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</si>
  <si>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</si>
  <si>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</si>
  <si>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</si>
  <si>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</si>
  <si>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</si>
  <si>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</si>
  <si>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</si>
  <si>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</si>
  <si>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</si>
  <si>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</si>
  <si>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</si>
  <si>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</si>
  <si>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</si>
  <si>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</si>
  <si>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</si>
  <si>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</si>
  <si>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</si>
  <si>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</si>
  <si>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</si>
  <si>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</si>
  <si>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</si>
  <si>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</si>
  <si>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</si>
  <si>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</si>
  <si>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</si>
  <si>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</si>
  <si>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</si>
  <si>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</si>
  <si>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</si>
  <si>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</si>
  <si>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</si>
  <si>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</si>
  <si>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</si>
  <si>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</si>
  <si>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</si>
  <si>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</si>
  <si>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</si>
  <si>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</si>
  <si>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</si>
  <si>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</si>
  <si>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</si>
  <si>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</si>
  <si>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</si>
  <si>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</si>
  <si>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</si>
  <si>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</si>
  <si>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</si>
  <si>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</si>
  <si>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</si>
  <si>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</si>
  <si>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</si>
  <si>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</si>
  <si>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</si>
  <si>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</si>
  <si>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</si>
  <si>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</si>
  <si>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</si>
  <si>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</si>
  <si>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</si>
  <si>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</si>
  <si>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</si>
  <si>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</si>
  <si>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</si>
  <si>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</si>
  <si>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</si>
  <si>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</si>
  <si>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</si>
  <si>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</si>
  <si>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</si>
  <si>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</si>
  <si>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</si>
  <si>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</si>
  <si>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</si>
  <si>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</si>
  <si>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</si>
  <si>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</si>
  <si>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</si>
  <si>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</si>
  <si>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</si>
  <si>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</si>
  <si>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</si>
  <si>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</si>
  <si>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</si>
  <si>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</si>
  <si>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</si>
  <si>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</si>
  <si>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</si>
  <si>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</si>
  <si>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</si>
  <si>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</si>
  <si>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</si>
  <si>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</si>
  <si>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</si>
  <si>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</si>
  <si>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</si>
  <si>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</si>
  <si>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</si>
  <si>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</si>
  <si>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</si>
  <si>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</si>
  <si>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</si>
  <si>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</si>
  <si>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</si>
  <si>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</si>
  <si>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</si>
  <si>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</si>
  <si>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</si>
  <si>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</si>
  <si>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</si>
  <si>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</si>
  <si>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</si>
  <si>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</si>
  <si>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</si>
  <si>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</si>
  <si>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</si>
  <si>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</si>
  <si>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</si>
  <si>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</si>
  <si>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</si>
  <si>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</si>
  <si>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</si>
  <si>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</si>
  <si>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</si>
  <si>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</si>
  <si>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</si>
  <si>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</si>
  <si>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</si>
  <si>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</si>
  <si>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</si>
  <si>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</si>
  <si>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</si>
  <si>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</si>
  <si>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</si>
  <si>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</si>
  <si>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</si>
  <si>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</si>
  <si>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</si>
  <si>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</si>
  <si>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</si>
  <si>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</si>
  <si>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</si>
  <si>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</si>
  <si>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</si>
  <si>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</si>
  <si>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</si>
  <si>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</si>
  <si>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</si>
  <si>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</si>
  <si>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</si>
  <si>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</si>
  <si>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</si>
  <si>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</si>
  <si>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</si>
  <si>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</si>
  <si>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</si>
  <si>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</si>
  <si>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</si>
  <si>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</si>
  <si>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</si>
  <si>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</si>
  <si>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</si>
  <si>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</si>
  <si>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</si>
  <si>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</si>
  <si>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</si>
  <si>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</si>
  <si>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</si>
  <si>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</si>
  <si>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</si>
  <si>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</si>
  <si>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</si>
  <si>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</si>
  <si>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</si>
  <si>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</si>
  <si>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</si>
  <si>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</si>
  <si>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</si>
  <si>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</si>
  <si>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</si>
  <si>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</si>
  <si>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</si>
  <si>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</si>
  <si>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</si>
  <si>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</si>
  <si>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</si>
  <si>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</si>
  <si>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</si>
  <si>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</si>
  <si>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</si>
  <si>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</si>
  <si>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</si>
  <si>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</si>
  <si>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</si>
  <si>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</si>
  <si>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</si>
  <si>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</si>
  <si>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</si>
  <si>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</si>
  <si>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</si>
  <si>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</si>
  <si>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</si>
  <si>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</si>
  <si>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</si>
  <si>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</si>
  <si>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</si>
  <si>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</si>
  <si>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</si>
  <si>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</si>
  <si>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</si>
  <si>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</si>
  <si>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</si>
  <si>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</si>
  <si>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</si>
  <si>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</si>
  <si>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</si>
  <si>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</si>
  <si>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</si>
  <si>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</si>
  <si>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</si>
  <si>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</si>
  <si>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</si>
  <si>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</si>
  <si>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</si>
  <si>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</si>
  <si>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</si>
  <si>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</si>
  <si>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</si>
  <si>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</si>
  <si>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</si>
  <si>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</si>
  <si>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</si>
  <si>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</si>
  <si>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</si>
  <si>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</si>
  <si>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</si>
  <si>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</si>
  <si>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</si>
  <si>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</si>
  <si>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</si>
  <si>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</si>
  <si>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</si>
  <si>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</si>
  <si>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</si>
  <si>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</si>
  <si>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</si>
  <si>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</si>
  <si>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</si>
  <si>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</si>
  <si>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</si>
  <si>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</si>
  <si>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</si>
  <si>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</si>
  <si>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</si>
  <si>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</si>
  <si>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</si>
  <si>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</si>
  <si>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</si>
  <si>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</si>
  <si>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</si>
  <si>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</si>
  <si>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</si>
  <si>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</si>
  <si>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</si>
  <si>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</si>
  <si>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</si>
  <si>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</si>
  <si>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</si>
  <si>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</si>
  <si>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</si>
  <si>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</si>
  <si>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</si>
  <si>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</si>
  <si>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</si>
  <si>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</si>
  <si>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</si>
  <si>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</si>
  <si>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</si>
  <si>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</si>
  <si>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</si>
  <si>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</si>
  <si>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</si>
  <si>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</si>
  <si>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</si>
  <si>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</si>
  <si>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</si>
  <si>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</si>
  <si>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</si>
  <si>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</si>
  <si>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</si>
  <si>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</si>
  <si>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</si>
  <si>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</si>
  <si>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</si>
  <si>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</si>
  <si>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</si>
  <si>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</si>
  <si>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</si>
  <si>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</si>
  <si>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</si>
  <si>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</si>
  <si>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</si>
  <si>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</si>
  <si>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</si>
  <si>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</si>
  <si>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</si>
  <si>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</si>
  <si>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</si>
  <si>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</si>
  <si>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</si>
  <si>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</si>
  <si>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</si>
  <si>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</si>
  <si>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</si>
  <si>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</si>
  <si>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</si>
  <si>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</si>
  <si>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</si>
  <si>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</si>
  <si>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</si>
  <si>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</si>
  <si>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</si>
  <si>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</si>
  <si>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</si>
  <si>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</si>
  <si>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</si>
  <si>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</si>
  <si>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</si>
  <si>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</si>
  <si>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</si>
  <si>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</si>
  <si>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</si>
  <si>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</si>
  <si>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</si>
  <si>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</si>
  <si>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</si>
  <si>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</si>
  <si>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</si>
  <si>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</si>
  <si>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</si>
  <si>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</si>
  <si>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</si>
  <si>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</si>
  <si>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</si>
  <si>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</si>
  <si>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</si>
  <si>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</si>
  <si>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</si>
  <si>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</si>
  <si>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</si>
  <si>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</si>
  <si>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</si>
  <si>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</si>
  <si>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</si>
  <si>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</si>
  <si>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</si>
  <si>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</si>
  <si>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</si>
  <si>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</si>
  <si>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</si>
  <si>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</si>
  <si>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</si>
  <si>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</si>
  <si>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</si>
  <si>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</si>
  <si>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</si>
  <si>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</si>
  <si>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</si>
  <si>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</si>
  <si>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</si>
  <si>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</si>
  <si>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</si>
  <si>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</si>
  <si>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</si>
  <si>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</si>
  <si>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</si>
  <si>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</si>
  <si>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</si>
  <si>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</si>
  <si>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</si>
  <si>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</si>
  <si>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</si>
  <si>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</si>
  <si>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</si>
  <si>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</si>
  <si>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</si>
  <si>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</si>
  <si>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</si>
  <si>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</si>
  <si>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</si>
  <si>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</si>
  <si>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</si>
  <si>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</si>
  <si>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</si>
  <si>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</si>
  <si>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</si>
  <si>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</si>
  <si>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</si>
  <si>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</si>
  <si>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</si>
  <si>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</si>
  <si>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</si>
  <si>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</si>
  <si>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</si>
  <si>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</si>
  <si>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</si>
  <si>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</si>
  <si>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</si>
  <si>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</si>
  <si>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</si>
  <si>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</si>
  <si>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</si>
  <si>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</si>
  <si>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</si>
  <si>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</si>
  <si>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</si>
  <si>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</si>
  <si>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</si>
  <si>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</si>
  <si>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</si>
  <si>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</si>
  <si>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</si>
  <si>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</si>
  <si>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</si>
  <si>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</si>
  <si>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</si>
  <si>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</si>
  <si>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</si>
  <si>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</si>
  <si>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</si>
  <si>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</si>
  <si>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</si>
  <si>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</si>
  <si>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</si>
  <si>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</si>
  <si>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</si>
  <si>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</si>
  <si>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</si>
  <si>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</si>
  <si>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</si>
  <si>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</si>
  <si>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</si>
  <si>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</si>
  <si>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</si>
  <si>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</si>
  <si>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</si>
  <si>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</si>
  <si>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</si>
  <si>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</si>
  <si>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</si>
  <si>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</si>
  <si>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</si>
  <si>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</si>
  <si>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</si>
  <si>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</si>
  <si>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</si>
  <si>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</si>
  <si>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</si>
  <si>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</si>
  <si>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</si>
  <si>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</si>
  <si>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</si>
  <si>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</si>
  <si>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</si>
  <si>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</si>
  <si>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</si>
  <si>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</si>
  <si>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</si>
  <si>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</si>
  <si>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</si>
  <si>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</si>
  <si>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</si>
  <si>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</si>
  <si>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</si>
  <si>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</si>
  <si>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</si>
  <si>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</si>
  <si>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</si>
  <si>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</si>
  <si>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</si>
  <si>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</si>
  <si>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</si>
  <si>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</si>
  <si>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</si>
  <si>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</si>
  <si>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</si>
  <si>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</si>
  <si>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</si>
  <si>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</si>
  <si>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</si>
  <si>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</si>
  <si>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</si>
  <si>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</si>
  <si>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</si>
  <si>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</si>
  <si>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</si>
  <si>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</si>
  <si>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</si>
  <si>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</si>
  <si>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</si>
  <si>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</si>
  <si>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</si>
  <si>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</si>
  <si>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</si>
  <si>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</si>
  <si>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</si>
  <si>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</si>
  <si>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</si>
  <si>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</si>
  <si>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</si>
  <si>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</si>
  <si>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</si>
  <si>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</si>
  <si>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</si>
  <si>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</si>
  <si>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</si>
  <si>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</si>
  <si>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</si>
  <si>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</si>
  <si>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</si>
  <si>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</si>
  <si>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</si>
  <si>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</si>
  <si>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</si>
  <si>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</si>
  <si>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</si>
  <si>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</si>
  <si>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</si>
  <si>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</si>
  <si>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</si>
  <si>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</si>
  <si>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</si>
  <si>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</si>
  <si>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</si>
  <si>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</si>
  <si>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</si>
  <si>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</si>
  <si>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</si>
  <si>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</si>
  <si>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</si>
  <si>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</si>
  <si>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</si>
  <si>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</si>
  <si>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</si>
  <si>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</si>
  <si>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</si>
  <si>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</si>
  <si>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</si>
  <si>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</si>
  <si>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</si>
  <si>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</si>
  <si>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</si>
  <si>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</si>
  <si>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</si>
  <si>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</si>
  <si>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</si>
  <si>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</si>
  <si>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</si>
  <si>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</si>
  <si>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</si>
  <si>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</si>
  <si>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</si>
  <si>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</si>
  <si>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</si>
  <si>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</si>
  <si>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</si>
  <si>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</si>
  <si>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</si>
  <si>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</si>
  <si>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</si>
  <si>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</si>
  <si>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</si>
  <si>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</si>
  <si>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</si>
  <si>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</si>
  <si>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</si>
  <si>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</si>
  <si>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</si>
  <si>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</si>
  <si>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</si>
  <si>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</si>
  <si>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</si>
  <si>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</si>
  <si>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</si>
  <si>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</si>
  <si>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</si>
  <si>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</si>
  <si>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</si>
  <si>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</si>
  <si>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</si>
  <si>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</si>
  <si>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</si>
  <si>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</si>
  <si>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</si>
  <si>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</si>
  <si>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</si>
  <si>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</si>
  <si>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</si>
  <si>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</si>
  <si>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</si>
  <si>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</si>
  <si>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</si>
  <si>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</si>
  <si>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</si>
  <si>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</si>
  <si>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</si>
  <si>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</si>
  <si>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</si>
  <si>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</si>
  <si>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</si>
  <si>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</si>
  <si>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</si>
  <si>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</si>
  <si>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</si>
  <si>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</si>
  <si>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</si>
  <si>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</si>
  <si>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</si>
  <si>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</si>
  <si>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</si>
  <si>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</si>
  <si>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</si>
  <si>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</si>
  <si>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</si>
  <si>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</si>
  <si>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</si>
  <si>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</si>
  <si>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</si>
  <si>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</si>
  <si>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</si>
  <si>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</si>
  <si>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</si>
  <si>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</si>
  <si>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</si>
  <si>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</si>
  <si>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</si>
  <si>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</si>
  <si>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</si>
  <si>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</si>
  <si>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</si>
  <si>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</si>
  <si>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</si>
  <si>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</si>
  <si>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</si>
  <si>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</si>
  <si>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</si>
  <si>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</si>
  <si>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</si>
  <si>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</si>
  <si>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</si>
  <si>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</si>
  <si>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</si>
  <si>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</si>
  <si>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</si>
  <si>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</si>
  <si>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</si>
  <si>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</si>
  <si>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</si>
  <si>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</si>
  <si>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</si>
  <si>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</si>
  <si>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</si>
  <si>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</si>
  <si>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</si>
  <si>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</si>
  <si>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</si>
  <si>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</si>
  <si>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</si>
  <si>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</si>
  <si>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</si>
  <si>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</si>
  <si>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</si>
  <si>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</si>
  <si>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</si>
  <si>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</si>
  <si>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</si>
  <si>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</si>
  <si>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</si>
  <si>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</si>
  <si>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</si>
  <si>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</si>
  <si>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</si>
  <si>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</si>
  <si>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</si>
  <si>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</si>
  <si>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</si>
  <si>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</si>
  <si>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</si>
  <si>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</si>
  <si>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</si>
  <si>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</si>
  <si>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</si>
  <si>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</si>
  <si>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</si>
  <si>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</si>
  <si>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</si>
  <si>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</si>
  <si>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</si>
  <si>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</si>
  <si>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</si>
  <si>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</si>
  <si>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</si>
  <si>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</si>
  <si>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</si>
  <si>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</si>
  <si>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</si>
  <si>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</si>
  <si>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</si>
  <si>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</si>
  <si>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</si>
  <si>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</si>
  <si>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</si>
  <si>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</si>
  <si>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</si>
  <si>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</si>
  <si>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</si>
  <si>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</si>
  <si>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</si>
  <si>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</si>
  <si>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</si>
  <si>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</si>
  <si>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</si>
  <si>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</si>
  <si>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</si>
  <si>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</si>
  <si>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</si>
  <si>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</si>
  <si>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</si>
  <si>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</si>
  <si>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</si>
  <si>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</si>
  <si>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</si>
  <si>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</si>
  <si>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</si>
  <si>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</si>
  <si>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</si>
  <si>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</si>
  <si>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</si>
  <si>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</si>
  <si>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</si>
  <si>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</si>
  <si>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</si>
  <si>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</si>
  <si>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</si>
  <si>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</si>
  <si>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</si>
  <si>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</si>
  <si>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</si>
  <si>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</si>
  <si>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</si>
  <si>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</si>
  <si>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</si>
  <si>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</si>
  <si>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</si>
  <si>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</si>
  <si>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</si>
  <si>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</si>
  <si>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</si>
  <si>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</si>
  <si>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</si>
  <si>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</si>
  <si>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</si>
  <si>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</si>
  <si>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</si>
  <si>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</si>
  <si>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</si>
  <si>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</si>
  <si>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</si>
  <si>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</si>
  <si>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</si>
  <si>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</si>
  <si>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</si>
  <si>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</si>
  <si>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</si>
  <si>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</si>
  <si>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</si>
  <si>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</si>
  <si>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</si>
  <si>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</si>
  <si>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</si>
  <si>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</si>
  <si>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</si>
  <si>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</si>
  <si>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</si>
  <si>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</si>
  <si>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</si>
  <si>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</si>
  <si>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</si>
  <si>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</si>
  <si>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</si>
  <si>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</si>
  <si>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</si>
  <si>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</si>
  <si>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</si>
  <si>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</si>
  <si>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</si>
  <si>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</si>
  <si>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</si>
  <si>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</si>
  <si>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</si>
  <si>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</si>
  <si>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</si>
  <si>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</si>
  <si>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</si>
  <si>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</si>
  <si>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</si>
  <si>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</si>
  <si>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</si>
  <si>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</si>
  <si>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</si>
  <si>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</si>
  <si>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</si>
  <si>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</si>
  <si>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</si>
  <si>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</si>
  <si>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</si>
  <si>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</si>
  <si>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</si>
  <si>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</si>
  <si>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</si>
  <si>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</si>
  <si>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</si>
  <si>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</si>
  <si>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</si>
  <si>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</si>
  <si>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</si>
  <si>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</si>
  <si>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</si>
  <si>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</si>
  <si>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</si>
  <si>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</si>
  <si>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</si>
  <si>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</si>
  <si>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</si>
  <si>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</si>
  <si>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</si>
  <si>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</si>
  <si>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</si>
  <si>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</si>
  <si>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</si>
  <si>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</si>
  <si>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</si>
  <si>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</si>
  <si>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</si>
  <si>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</si>
  <si>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</si>
  <si>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</si>
  <si>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</si>
  <si>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</si>
  <si>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</si>
  <si>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</si>
  <si>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</si>
  <si>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</si>
  <si>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</si>
  <si>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</si>
  <si>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</si>
  <si>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</si>
  <si>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</si>
  <si>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</si>
  <si>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</si>
  <si>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</si>
  <si>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</si>
  <si>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</si>
  <si>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</si>
  <si>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</si>
  <si>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</si>
  <si>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</si>
  <si>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</si>
  <si>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</si>
  <si>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</si>
  <si>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</si>
  <si>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</si>
  <si>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</si>
  <si>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</si>
  <si>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</si>
  <si>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</si>
  <si>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</si>
  <si>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</si>
  <si>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</si>
  <si>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</si>
  <si>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</si>
  <si>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</si>
  <si>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</si>
  <si>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</si>
  <si>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</si>
  <si>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</si>
  <si>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</si>
  <si>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</si>
  <si>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</si>
  <si>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</si>
  <si>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</si>
  <si>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</si>
  <si>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</si>
  <si>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</si>
  <si>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</si>
  <si>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</si>
  <si>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</si>
  <si>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</si>
  <si>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</si>
  <si>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</si>
  <si>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</si>
  <si>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</si>
  <si>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</si>
  <si>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</si>
  <si>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</si>
  <si>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</si>
  <si>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</si>
  <si>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</si>
  <si>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</si>
  <si>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</si>
  <si>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</si>
  <si>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</si>
  <si>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</si>
  <si>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</si>
  <si>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</si>
  <si>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</si>
  <si>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</si>
  <si>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</si>
  <si>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</si>
  <si>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</si>
  <si>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</si>
  <si>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</si>
  <si>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</si>
  <si>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</si>
  <si>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</si>
  <si>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</si>
  <si>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</si>
  <si>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</si>
  <si>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</si>
  <si>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</si>
  <si>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</si>
  <si>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</si>
  <si>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</si>
  <si>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</si>
  <si>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</si>
  <si>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</si>
  <si>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</si>
  <si>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</si>
  <si>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</si>
  <si>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</si>
  <si>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</si>
  <si>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</si>
  <si>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</si>
  <si>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</si>
  <si>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</si>
  <si>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</si>
  <si>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</si>
  <si>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</si>
  <si>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</si>
  <si>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</si>
  <si>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</si>
  <si>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</si>
  <si>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</si>
  <si>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</si>
  <si>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</si>
  <si>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</si>
  <si>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</si>
  <si>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</si>
  <si>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</si>
  <si>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</si>
  <si>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</si>
  <si>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</si>
  <si>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</si>
  <si>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</si>
  <si>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</si>
  <si>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</si>
  <si>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</si>
  <si>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</si>
  <si>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</si>
  <si>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</si>
  <si>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</si>
  <si>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</si>
  <si>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</si>
  <si>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</si>
  <si>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</si>
  <si>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</si>
  <si>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</si>
  <si>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</si>
  <si>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</si>
  <si>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</si>
  <si>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</si>
  <si>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</si>
  <si>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</si>
  <si>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</si>
  <si>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</si>
  <si>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</si>
  <si>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</si>
  <si>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</si>
  <si>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</si>
  <si>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</si>
  <si>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</si>
  <si>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</si>
  <si>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</si>
  <si>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</si>
  <si>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</si>
  <si>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</si>
  <si>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</si>
  <si>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</si>
  <si>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</si>
  <si>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</si>
  <si>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</si>
  <si>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</si>
  <si>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</si>
  <si>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</si>
  <si>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</si>
  <si>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</si>
  <si>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</si>
  <si>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</si>
  <si>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</si>
  <si>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</si>
  <si>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</si>
  <si>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</si>
  <si>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</si>
  <si>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</si>
  <si>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</si>
  <si>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</si>
  <si>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</si>
  <si>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</si>
  <si>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</si>
  <si>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</si>
  <si>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</si>
  <si>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</si>
  <si>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</si>
  <si>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</si>
  <si>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</si>
  <si>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</si>
  <si>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</si>
  <si>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</si>
  <si>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</si>
  <si>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</si>
  <si>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</si>
  <si>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</si>
  <si>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</si>
  <si>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</si>
  <si>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</si>
  <si>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</si>
  <si>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</si>
  <si>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</si>
  <si>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</si>
  <si>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</si>
  <si>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</si>
  <si>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</si>
  <si>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</si>
  <si>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</si>
  <si>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</si>
  <si>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</si>
  <si>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</si>
  <si>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</si>
  <si>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</si>
  <si>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</si>
  <si>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</si>
  <si>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</si>
  <si>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</si>
  <si>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</si>
  <si>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</si>
  <si>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</si>
  <si>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</si>
  <si>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</si>
  <si>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</si>
  <si>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</si>
  <si>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</si>
  <si>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</si>
  <si>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</si>
  <si>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</si>
  <si>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</si>
  <si>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</si>
  <si>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</si>
  <si>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</si>
  <si>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</si>
  <si>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</si>
  <si>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</si>
  <si>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</si>
  <si>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</si>
  <si>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</si>
  <si>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</si>
  <si>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</si>
  <si>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</si>
  <si>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</si>
  <si>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</si>
  <si>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</si>
  <si>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</si>
  <si>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</si>
  <si>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</si>
  <si>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</si>
  <si>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</si>
  <si>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</si>
  <si>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</si>
  <si>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</si>
  <si>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</si>
  <si>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</si>
  <si>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</si>
  <si>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</si>
  <si>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</si>
  <si>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</si>
  <si>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</si>
  <si>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</si>
  <si>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</si>
  <si>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</si>
  <si>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</si>
  <si>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</si>
  <si>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</si>
  <si>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</si>
  <si>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</si>
  <si>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</si>
  <si>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</si>
  <si>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</si>
  <si>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</si>
  <si>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</si>
  <si>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</si>
  <si>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</si>
  <si>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</si>
  <si>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</si>
  <si>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</si>
  <si>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</si>
  <si>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</si>
  <si>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</si>
  <si>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</si>
  <si>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</si>
  <si>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</si>
  <si>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</si>
  <si>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</si>
  <si>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</si>
  <si>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</si>
  <si>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</si>
  <si>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</si>
  <si>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</si>
  <si>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</si>
  <si>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</si>
  <si>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</si>
  <si>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</si>
  <si>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</si>
  <si>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</si>
  <si>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</si>
  <si>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</si>
  <si>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</si>
  <si>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</si>
  <si>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</si>
  <si>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</si>
  <si>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</si>
  <si>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</si>
  <si>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</si>
  <si>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</si>
  <si>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</si>
  <si>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</si>
  <si>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</si>
  <si>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</si>
  <si>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</si>
  <si>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</si>
  <si>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</si>
  <si>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</si>
  <si>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</si>
  <si>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</si>
  <si>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</si>
  <si>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</si>
  <si>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</si>
  <si>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</si>
  <si>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</si>
  <si>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</si>
  <si>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</si>
  <si>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</si>
  <si>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</si>
  <si>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</si>
  <si>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</si>
  <si>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</si>
  <si>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</si>
  <si>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</si>
  <si>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</si>
  <si>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</si>
  <si>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</si>
  <si>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</si>
  <si>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</si>
  <si>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</si>
  <si>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</si>
  <si>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</si>
  <si>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</si>
  <si>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</si>
  <si>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</si>
  <si>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</si>
  <si>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</si>
  <si>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</si>
  <si>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</si>
  <si>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</si>
  <si>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</si>
  <si>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</si>
  <si>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</si>
  <si>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</si>
  <si>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</si>
  <si>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</si>
  <si>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</si>
  <si>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</si>
  <si>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</si>
  <si>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</si>
  <si>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</si>
  <si>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</si>
  <si>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</si>
  <si>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</si>
  <si>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</si>
  <si>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</si>
  <si>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</si>
  <si>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</si>
  <si>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</si>
  <si>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</si>
  <si>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</si>
  <si>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</si>
  <si>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</si>
  <si>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</si>
  <si>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</si>
  <si>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</si>
  <si>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</si>
  <si>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</si>
  <si>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</si>
  <si>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</si>
  <si>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</si>
  <si>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</si>
  <si>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</si>
  <si>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</si>
  <si>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</si>
  <si>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</si>
  <si>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</si>
  <si>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</si>
  <si>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</si>
  <si>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</si>
  <si>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</si>
  <si>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</si>
  <si>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</si>
  <si>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</si>
  <si>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</si>
  <si>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</si>
  <si>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</si>
  <si>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</si>
  <si>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</si>
  <si>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</si>
  <si>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</si>
  <si>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</si>
  <si>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</si>
  <si>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</si>
  <si>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</si>
  <si>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</si>
  <si>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</si>
  <si>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</si>
  <si>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</si>
  <si>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</si>
  <si>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</si>
  <si>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</si>
  <si>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</si>
  <si>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</si>
  <si>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</si>
  <si>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</si>
  <si>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</si>
  <si>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</si>
  <si>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</si>
  <si>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</si>
  <si>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</si>
  <si>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</si>
  <si>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</si>
  <si>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</si>
  <si>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</si>
  <si>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</si>
  <si>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</si>
  <si>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</si>
  <si>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</si>
  <si>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</si>
  <si>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</si>
  <si>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</si>
  <si>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</si>
  <si>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</si>
  <si>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</si>
  <si>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</si>
  <si>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</si>
  <si>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</si>
  <si>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</si>
  <si>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</si>
  <si>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</si>
  <si>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</si>
  <si>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</si>
  <si>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</si>
  <si>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</si>
  <si>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</si>
  <si>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</si>
  <si>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</si>
  <si>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</si>
  <si>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</si>
  <si>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</si>
  <si>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</si>
  <si>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</si>
  <si>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</si>
  <si>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</si>
  <si>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</si>
  <si>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</si>
  <si>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</si>
  <si>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</si>
  <si>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</si>
  <si>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</si>
  <si>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</si>
  <si>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</si>
  <si>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</si>
  <si>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</si>
  <si>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</si>
  <si>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</si>
  <si>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</si>
  <si>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</si>
  <si>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</si>
  <si>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</si>
  <si>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</si>
  <si>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</si>
  <si>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</si>
  <si>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</si>
  <si>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</si>
  <si>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</si>
  <si>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</si>
  <si>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</si>
  <si>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</si>
  <si>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</si>
  <si>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</si>
  <si>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</si>
  <si>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</si>
  <si>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</si>
  <si>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</si>
  <si>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</si>
  <si>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</si>
  <si>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</si>
  <si>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</si>
  <si>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</si>
  <si>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</si>
  <si>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</si>
  <si>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</si>
  <si>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</si>
  <si>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</si>
  <si>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</si>
  <si>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</si>
  <si>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</si>
  <si>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</si>
  <si>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</si>
  <si>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</si>
  <si>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</si>
  <si>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</si>
  <si>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</si>
  <si>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</si>
  <si>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</si>
  <si>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</si>
  <si>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</si>
  <si>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</si>
  <si>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</si>
  <si>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</si>
  <si>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</si>
  <si>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</si>
  <si>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</si>
  <si>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</si>
  <si>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</si>
  <si>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</si>
  <si>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</si>
  <si>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</si>
  <si>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</si>
  <si>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</si>
  <si>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</si>
  <si>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</si>
  <si>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</si>
  <si>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</si>
  <si>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</si>
  <si>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</si>
  <si>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</si>
  <si>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</si>
  <si>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</si>
  <si>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</si>
  <si>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</si>
  <si>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</si>
  <si>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</si>
  <si>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</si>
  <si>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</si>
  <si>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</si>
  <si>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</si>
  <si>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</si>
  <si>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</si>
  <si>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</si>
  <si>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</si>
  <si>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</si>
  <si>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</si>
  <si>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</si>
  <si>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</si>
  <si>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</si>
  <si>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</si>
  <si>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</si>
  <si>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</si>
  <si>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</si>
  <si>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</si>
  <si>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</si>
  <si>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</si>
  <si>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</si>
  <si>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</si>
  <si>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</si>
  <si>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</si>
  <si>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</si>
  <si>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</si>
  <si>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</si>
  <si>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</si>
  <si>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</si>
  <si>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</si>
  <si>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</si>
  <si>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</si>
  <si>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</si>
  <si>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</si>
  <si>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</si>
  <si>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</si>
  <si>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</si>
  <si>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</si>
  <si>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</si>
  <si>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</si>
  <si>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</si>
  <si>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</si>
  <si>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</si>
  <si>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</si>
  <si>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</si>
  <si>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</si>
  <si>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</si>
  <si>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</si>
  <si>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</si>
  <si>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</si>
  <si>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</si>
  <si>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</si>
  <si>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</si>
  <si>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</si>
  <si>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</si>
  <si>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</si>
  <si>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</si>
  <si>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</si>
  <si>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</si>
  <si>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</si>
  <si>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</si>
  <si>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</si>
  <si>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</si>
  <si>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</si>
  <si>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</si>
  <si>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</si>
  <si>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</si>
  <si>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</si>
  <si>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</si>
  <si>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</si>
  <si>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</si>
  <si>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</si>
  <si>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</si>
  <si>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</si>
  <si>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</si>
  <si>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</si>
  <si>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</si>
  <si>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</si>
  <si>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</si>
  <si>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</si>
  <si>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</si>
  <si>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</si>
  <si>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</si>
  <si>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</si>
  <si>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</si>
  <si>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</si>
  <si>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</si>
  <si>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</si>
  <si>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</si>
  <si>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</si>
  <si>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</si>
  <si>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</si>
  <si>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</si>
  <si>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</si>
  <si>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</si>
  <si>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</si>
  <si>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</si>
  <si>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</si>
  <si>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</si>
  <si>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</si>
  <si>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</si>
  <si>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</si>
  <si>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</si>
  <si>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</si>
  <si>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</si>
  <si>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</si>
  <si>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</si>
  <si>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</si>
  <si>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</si>
  <si>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</si>
  <si>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</si>
  <si>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</si>
  <si>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</si>
  <si>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</si>
  <si>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</si>
  <si>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</si>
  <si>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</si>
  <si>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</si>
  <si>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</si>
  <si>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</si>
  <si>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</si>
  <si>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</si>
  <si>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</si>
  <si>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</si>
  <si>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</si>
  <si>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</si>
  <si>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</si>
  <si>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</si>
  <si>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</si>
  <si>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</si>
  <si>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</si>
  <si>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</si>
  <si>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</si>
  <si>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</si>
  <si>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</si>
  <si>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</si>
  <si>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</si>
  <si>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</si>
  <si>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</si>
  <si>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</si>
  <si>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</si>
  <si>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</si>
  <si>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</si>
  <si>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</si>
  <si>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</si>
  <si>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</si>
  <si>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</si>
  <si>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</si>
  <si>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</si>
  <si>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</si>
  <si>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</si>
  <si>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</si>
  <si>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</si>
  <si>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</si>
  <si>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</si>
  <si>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</si>
  <si>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</si>
  <si>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</si>
  <si>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</si>
  <si>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</si>
  <si>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</si>
  <si>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</si>
  <si>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</si>
  <si>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</si>
  <si>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</si>
  <si>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</si>
  <si>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</si>
  <si>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</si>
  <si>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</si>
  <si>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</si>
  <si>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</si>
  <si>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</si>
  <si>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</si>
  <si>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</si>
  <si>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</si>
  <si>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</si>
  <si>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</si>
  <si>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</si>
  <si>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</si>
  <si>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</si>
  <si>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</si>
  <si>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</si>
  <si>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</si>
  <si>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</si>
  <si>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</si>
  <si>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</si>
  <si>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</si>
  <si>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</si>
  <si>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</si>
  <si>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</si>
  <si>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</si>
  <si>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</si>
  <si>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</si>
  <si>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</si>
  <si>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</si>
  <si>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</si>
  <si>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</si>
  <si>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</si>
  <si>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</si>
  <si>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</si>
  <si>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</si>
  <si>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</si>
  <si>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</si>
  <si>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</si>
  <si>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</si>
  <si>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</si>
  <si>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</si>
  <si>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</si>
  <si>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</si>
  <si>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</si>
  <si>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</si>
  <si>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</si>
  <si>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</si>
  <si>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</si>
  <si>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</si>
  <si>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</si>
  <si>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</si>
  <si>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</si>
  <si>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</si>
  <si>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</si>
  <si>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</si>
  <si>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</si>
  <si>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</si>
  <si>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</si>
  <si>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</si>
  <si>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</si>
  <si>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</si>
  <si>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</si>
  <si>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</si>
  <si>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</si>
  <si>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</si>
  <si>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</si>
  <si>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</si>
  <si>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</si>
  <si>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</si>
  <si>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</si>
  <si>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</si>
  <si>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</si>
  <si>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</si>
  <si>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</si>
  <si>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</si>
  <si>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</si>
  <si>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</si>
  <si>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</si>
  <si>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</si>
  <si>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</si>
  <si>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</si>
  <si>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</si>
  <si>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</si>
  <si>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</si>
  <si>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</si>
  <si>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</si>
  <si>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</si>
  <si>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</si>
  <si>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</si>
  <si>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</si>
  <si>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</si>
  <si>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</si>
  <si>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</si>
  <si>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</si>
  <si>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</si>
  <si>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</si>
  <si>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</si>
  <si>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</si>
  <si>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</si>
  <si>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</si>
  <si>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</si>
  <si>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</si>
  <si>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</si>
  <si>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</si>
  <si>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</si>
  <si>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</si>
  <si>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</si>
  <si>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</si>
  <si>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</si>
  <si>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</si>
  <si>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</si>
  <si>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</si>
  <si>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</si>
  <si>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</si>
  <si>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</si>
  <si>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</si>
  <si>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</si>
  <si>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</si>
  <si>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</si>
  <si>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</si>
  <si>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</si>
  <si>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</si>
  <si>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</si>
  <si>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</si>
  <si>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</si>
  <si>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</si>
  <si>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</si>
  <si>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</si>
  <si>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</si>
  <si>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</si>
  <si>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</si>
  <si>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</si>
  <si>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</si>
  <si>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</si>
  <si>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</si>
  <si>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</si>
  <si>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</si>
  <si>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</si>
  <si>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</si>
  <si>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</si>
  <si>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</si>
  <si>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</si>
  <si>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</si>
  <si>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</si>
  <si>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</si>
  <si>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</si>
  <si>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</si>
  <si>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</si>
  <si>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</si>
  <si>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</si>
  <si>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</si>
  <si>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</si>
  <si>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</si>
  <si>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</si>
  <si>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</si>
  <si>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</si>
  <si>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</si>
  <si>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</si>
  <si>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</si>
  <si>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</si>
  <si>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</si>
  <si>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</si>
  <si>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</si>
  <si>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</si>
  <si>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</si>
  <si>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</si>
  <si>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</si>
  <si>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</si>
  <si>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</si>
  <si>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</si>
  <si>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</si>
  <si>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</si>
  <si>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</si>
  <si>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</si>
  <si>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</si>
  <si>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</si>
  <si>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</si>
  <si>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</si>
  <si>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</si>
  <si>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</si>
  <si>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</si>
  <si>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</si>
  <si>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</si>
  <si>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</si>
  <si>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</si>
  <si>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</si>
  <si>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</si>
  <si>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</si>
  <si>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</si>
  <si>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</si>
  <si>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</si>
  <si>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</si>
  <si>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</si>
  <si>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</si>
  <si>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</si>
  <si>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</si>
  <si>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</si>
  <si>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</si>
  <si>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</si>
  <si>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</si>
  <si>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</si>
  <si>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</si>
  <si>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</si>
  <si>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</si>
  <si>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</si>
  <si>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</si>
  <si>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</si>
  <si>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</si>
  <si>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</si>
  <si>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</si>
  <si>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</si>
  <si>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</si>
  <si>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</si>
  <si>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</si>
  <si>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</si>
  <si>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</si>
  <si>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</si>
  <si>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</si>
  <si>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</si>
  <si>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</si>
  <si>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</si>
  <si>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</si>
  <si>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</si>
  <si>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</si>
  <si>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</si>
  <si>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</si>
  <si>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</si>
  <si>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</si>
  <si>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</si>
  <si>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</si>
  <si>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</si>
  <si>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</si>
  <si>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</si>
  <si>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</si>
  <si>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</si>
  <si>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</si>
  <si>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</si>
  <si>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</si>
  <si>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</si>
  <si>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</si>
  <si>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</si>
  <si>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</si>
  <si>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</si>
  <si>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</si>
  <si>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</si>
  <si>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</si>
  <si>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</si>
  <si>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</si>
  <si>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</si>
  <si>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</si>
  <si>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</si>
  <si>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</si>
  <si>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</si>
  <si>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</si>
  <si>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</si>
  <si>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</si>
  <si>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</si>
  <si>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</si>
  <si>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</si>
  <si>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</si>
  <si>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</si>
  <si>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</si>
  <si>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</si>
  <si>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</si>
  <si>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</si>
  <si>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</si>
  <si>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</si>
  <si>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</si>
  <si>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</si>
  <si>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</si>
  <si>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</si>
  <si>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</si>
  <si>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</si>
  <si>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</si>
  <si>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</si>
  <si>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</si>
  <si>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</si>
  <si>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</si>
  <si>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</si>
  <si>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</si>
  <si>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</si>
  <si>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</si>
  <si>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</si>
  <si>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</si>
  <si>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</si>
  <si>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</si>
  <si>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</si>
  <si>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</si>
  <si>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</si>
  <si>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</si>
  <si>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</si>
  <si>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</si>
  <si>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</si>
  <si>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</si>
  <si>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</si>
  <si>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</si>
  <si>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</si>
  <si>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</si>
  <si>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</si>
  <si>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</si>
  <si>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</si>
  <si>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</si>
  <si>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</si>
  <si>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</si>
  <si>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</si>
  <si>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</si>
  <si>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</si>
  <si>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</si>
  <si>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</si>
  <si>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</si>
  <si>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</si>
  <si>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</si>
  <si>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</si>
  <si>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</si>
  <si>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</si>
  <si>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</si>
  <si>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</si>
  <si>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</si>
  <si>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</si>
  <si>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</si>
  <si>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</si>
  <si>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</si>
  <si>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</si>
  <si>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</si>
  <si>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</si>
  <si>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</si>
  <si>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</si>
  <si>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</si>
  <si>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</si>
  <si>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</si>
  <si>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</si>
  <si>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</si>
  <si>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</si>
  <si>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</si>
  <si>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</si>
  <si>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</si>
  <si>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</si>
  <si>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</si>
  <si>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</si>
  <si>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</si>
  <si>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</si>
  <si>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</si>
  <si>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</si>
  <si>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</si>
  <si>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</si>
  <si>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</si>
  <si>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</si>
  <si>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</si>
  <si>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</si>
  <si>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</si>
  <si>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</si>
  <si>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</si>
  <si>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</si>
  <si>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</si>
  <si>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</si>
  <si>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</si>
  <si>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</si>
  <si>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</si>
  <si>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</si>
  <si>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</si>
  <si>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</si>
  <si>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</si>
  <si>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</si>
  <si>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</si>
  <si>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</si>
  <si>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</si>
  <si>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</si>
  <si>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</si>
  <si>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</si>
  <si>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</si>
  <si>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</si>
  <si>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</si>
  <si>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</si>
  <si>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</si>
  <si>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</si>
  <si>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</si>
  <si>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</si>
  <si>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</si>
  <si>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</si>
  <si>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</si>
  <si>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</si>
  <si>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</si>
  <si>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</si>
  <si>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</si>
  <si>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</si>
  <si>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</si>
  <si>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</si>
  <si>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</si>
  <si>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</si>
  <si>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</si>
  <si>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</si>
  <si>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</si>
  <si>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</si>
  <si>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</si>
  <si>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</si>
  <si>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</si>
  <si>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</si>
  <si>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</si>
  <si>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</si>
  <si>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</si>
  <si>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</si>
  <si>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</si>
  <si>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</si>
  <si>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</si>
  <si>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</si>
  <si>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</si>
  <si>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</si>
  <si>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</si>
  <si>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</si>
  <si>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</si>
  <si>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</si>
  <si>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</si>
  <si>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</si>
  <si>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</si>
  <si>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</si>
  <si>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</si>
  <si>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</si>
  <si>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</si>
  <si>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</si>
  <si>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</si>
  <si>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</si>
  <si>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</si>
  <si>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</si>
  <si>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</si>
  <si>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</si>
  <si>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</si>
  <si>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</si>
  <si>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</si>
  <si>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</si>
  <si>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</si>
  <si>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</si>
  <si>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</si>
  <si>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</si>
  <si>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</si>
  <si>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</si>
  <si>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</si>
  <si>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</si>
  <si>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</si>
  <si>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</si>
  <si>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</si>
  <si>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</si>
  <si>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</si>
  <si>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</si>
  <si>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</si>
  <si>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</si>
  <si>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</si>
  <si>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</si>
  <si>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</si>
  <si>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</si>
  <si>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</si>
  <si>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</si>
  <si>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</si>
  <si>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</si>
  <si>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</si>
  <si>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</si>
  <si>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</si>
  <si>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</si>
  <si>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</si>
  <si>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</si>
  <si>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</si>
  <si>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</si>
  <si>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</si>
  <si>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</si>
  <si>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</si>
  <si>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</si>
  <si>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</si>
  <si>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</si>
  <si>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</si>
  <si>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</si>
  <si>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</si>
  <si>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</si>
  <si>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</si>
  <si>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</si>
  <si>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</si>
  <si>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</si>
  <si>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</si>
  <si>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</si>
  <si>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</si>
  <si>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</si>
  <si>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</si>
  <si>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</si>
  <si>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</si>
  <si>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</si>
  <si>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</si>
  <si>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</si>
  <si>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</si>
  <si>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</si>
  <si>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</si>
  <si>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</si>
  <si>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</si>
  <si>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</si>
  <si>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</si>
  <si>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</si>
  <si>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</si>
  <si>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</si>
  <si>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</si>
  <si>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</si>
  <si>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</si>
  <si>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</si>
  <si>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</si>
  <si>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</si>
  <si>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</si>
  <si>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</si>
  <si>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</si>
  <si>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</si>
  <si>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</si>
  <si>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</si>
  <si>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</si>
  <si>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</si>
  <si>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</si>
  <si>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</si>
  <si>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</si>
  <si>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</si>
  <si>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</si>
  <si>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</si>
  <si>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</si>
  <si>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</si>
  <si>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</si>
  <si>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</si>
  <si>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</si>
  <si>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</si>
  <si>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</si>
  <si>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</si>
  <si>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</si>
  <si>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</si>
  <si>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</si>
  <si>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</si>
  <si>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</si>
  <si>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</si>
  <si>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</si>
  <si>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</si>
  <si>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</si>
  <si>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</si>
  <si>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</si>
  <si>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</si>
  <si>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</si>
  <si>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</si>
  <si>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</si>
  <si>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</si>
  <si>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</si>
  <si>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</si>
  <si>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</si>
  <si>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</si>
  <si>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</si>
  <si>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</si>
  <si>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</si>
  <si>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</si>
  <si>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</si>
  <si>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</si>
  <si>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</si>
  <si>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</si>
  <si>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</si>
  <si>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</si>
  <si>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</si>
  <si>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</si>
  <si>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</si>
  <si>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</si>
  <si>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</si>
  <si>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</si>
  <si>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</si>
  <si>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</si>
  <si>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</si>
  <si>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</si>
  <si>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</si>
  <si>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</si>
  <si>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</si>
  <si>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</si>
  <si>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</si>
  <si>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</si>
  <si>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</si>
  <si>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</si>
  <si>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</si>
  <si>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</si>
  <si>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</si>
  <si>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</si>
  <si>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</si>
  <si>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</si>
  <si>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</si>
  <si>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</si>
  <si>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</si>
  <si>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</si>
  <si>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</si>
  <si>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</si>
  <si>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</si>
  <si>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</si>
  <si>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</si>
  <si>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</si>
  <si>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</si>
  <si>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</si>
  <si>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</si>
  <si>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</si>
  <si>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</si>
  <si>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</si>
  <si>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</si>
  <si>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</si>
  <si>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</si>
  <si>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</si>
  <si>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</si>
  <si>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</si>
  <si>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</si>
  <si>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</si>
  <si>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</si>
  <si>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</si>
  <si>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</si>
  <si>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</si>
  <si>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</si>
  <si>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</si>
  <si>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</si>
  <si>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</si>
  <si>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</si>
  <si>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</si>
  <si>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</si>
  <si>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</si>
  <si>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</si>
  <si>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</si>
  <si>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</si>
  <si>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</si>
  <si>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</si>
  <si>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</si>
  <si>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</si>
  <si>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</si>
  <si>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</si>
  <si>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</si>
  <si>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</si>
  <si>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</si>
  <si>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</si>
  <si>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</si>
  <si>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</si>
  <si>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</si>
  <si>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</si>
  <si>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</si>
  <si>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</si>
  <si>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</si>
  <si>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</si>
  <si>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</si>
  <si>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</si>
  <si>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</si>
  <si>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</si>
  <si>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</si>
  <si>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</si>
  <si>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</si>
  <si>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</si>
  <si>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</si>
  <si>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</si>
  <si>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</si>
  <si>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</si>
  <si>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</si>
  <si>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</si>
  <si>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</si>
  <si>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</si>
  <si>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</si>
  <si>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</si>
  <si>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</si>
  <si>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</si>
  <si>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</si>
  <si>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</si>
  <si>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</si>
  <si>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</si>
  <si>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</si>
  <si>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</si>
  <si>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</si>
  <si>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</si>
  <si>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</si>
  <si>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</si>
  <si>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</si>
  <si>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</si>
  <si>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</si>
  <si>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</si>
  <si>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</si>
  <si>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</si>
  <si>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</si>
  <si>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</si>
  <si>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</si>
  <si>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</si>
  <si>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</si>
  <si>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</si>
  <si>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</si>
  <si>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</si>
  <si>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</si>
  <si>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</si>
  <si>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</si>
  <si>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</si>
  <si>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</si>
  <si>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</si>
  <si>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</si>
  <si>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</si>
  <si>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</si>
  <si>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</si>
  <si>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</si>
  <si>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</si>
  <si>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</si>
  <si>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</si>
  <si>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</si>
  <si>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</si>
  <si>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</si>
  <si>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</si>
  <si>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</si>
  <si>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</si>
  <si>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</si>
  <si>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</si>
  <si>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</si>
  <si>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</si>
  <si>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</si>
  <si>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</si>
  <si>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</si>
  <si>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</si>
  <si>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</si>
  <si>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</si>
  <si>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</si>
  <si>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</si>
  <si>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</si>
  <si>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</si>
  <si>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</si>
  <si>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</si>
  <si>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</si>
  <si>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</si>
  <si>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</si>
  <si>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</si>
  <si>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</si>
  <si>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</si>
  <si>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</si>
  <si>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</si>
  <si>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</si>
  <si>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</si>
  <si>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</si>
  <si>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</si>
  <si>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</si>
  <si>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</si>
  <si>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</si>
  <si>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</si>
  <si>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</si>
  <si>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</si>
  <si>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</si>
  <si>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</si>
  <si>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</si>
  <si>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</si>
  <si>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</si>
  <si>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</si>
  <si>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</si>
  <si>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</si>
  <si>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</si>
  <si>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</si>
  <si>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</si>
  <si>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</si>
  <si>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</si>
  <si>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</si>
  <si>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</si>
  <si>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</si>
  <si>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</si>
  <si>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</si>
  <si>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</si>
  <si>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</si>
  <si>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</si>
  <si>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</si>
  <si>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</si>
  <si>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</si>
  <si>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</si>
  <si>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</si>
  <si>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</si>
  <si>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</si>
  <si>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</si>
  <si>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</si>
  <si>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</si>
  <si>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</si>
  <si>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</si>
  <si>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</si>
  <si>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</si>
  <si>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</si>
  <si>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</si>
  <si>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</si>
  <si>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</si>
  <si>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</si>
  <si>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</si>
  <si>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</si>
  <si>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</si>
  <si>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</si>
  <si>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</si>
  <si>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</si>
  <si>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</si>
  <si>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</si>
  <si>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</si>
  <si>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</si>
  <si>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</si>
  <si>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</si>
  <si>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</si>
  <si>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</si>
  <si>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</si>
  <si>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</si>
  <si>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</si>
  <si>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</si>
  <si>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</si>
  <si>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</si>
  <si>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</si>
  <si>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</si>
  <si>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</si>
  <si>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</si>
  <si>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</si>
  <si>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</si>
  <si>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</si>
  <si>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</si>
  <si>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</si>
  <si>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</si>
  <si>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</si>
  <si>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</si>
  <si>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</si>
  <si>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</si>
  <si>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</si>
  <si>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</si>
  <si>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</si>
  <si>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</si>
  <si>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</si>
  <si>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</si>
  <si>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</si>
  <si>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</si>
  <si>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</si>
  <si>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</si>
  <si>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</si>
  <si>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</si>
  <si>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</si>
  <si>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</si>
  <si>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</si>
  <si>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</si>
  <si>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</si>
  <si>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</si>
  <si>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</si>
  <si>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</si>
  <si>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</si>
  <si>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</si>
  <si>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</si>
  <si>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</si>
  <si>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</si>
  <si>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</si>
  <si>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</si>
  <si>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</si>
  <si>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</si>
  <si>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</si>
  <si>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</si>
  <si>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</si>
  <si>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</si>
  <si>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</si>
  <si>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</si>
  <si>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</si>
  <si>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</si>
  <si>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</si>
  <si>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</si>
  <si>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</si>
  <si>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</si>
  <si>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</si>
  <si>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</si>
  <si>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</si>
  <si>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</si>
  <si>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</si>
  <si>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</si>
  <si>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</si>
  <si>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</si>
  <si>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</si>
  <si>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</si>
  <si>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</si>
  <si>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</si>
  <si>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</si>
  <si>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</si>
  <si>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</si>
  <si>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</si>
  <si>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</si>
  <si>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</si>
  <si>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</si>
  <si>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</si>
  <si>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</si>
  <si>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</si>
  <si>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</si>
  <si>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</si>
  <si>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</si>
  <si>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</si>
  <si>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</si>
  <si>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</si>
  <si>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</si>
  <si>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</si>
  <si>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</si>
  <si>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</si>
  <si>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</si>
  <si>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</si>
  <si>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</si>
  <si>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</si>
  <si>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</si>
  <si>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</si>
  <si>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</si>
  <si>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</si>
  <si>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</si>
  <si>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</si>
  <si>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</si>
  <si>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</si>
  <si>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</si>
  <si>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</si>
  <si>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</si>
  <si>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</si>
  <si>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</si>
  <si>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</si>
  <si>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</si>
  <si>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</si>
  <si>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</si>
  <si>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</si>
  <si>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</si>
  <si>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</si>
  <si>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</si>
  <si>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</si>
  <si>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</si>
  <si>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</si>
  <si>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</si>
  <si>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</si>
  <si>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</si>
  <si>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</si>
  <si>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</si>
  <si>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</si>
  <si>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</si>
  <si>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</si>
  <si>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</si>
  <si>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</si>
  <si>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</si>
  <si>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</si>
  <si>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</si>
  <si>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</si>
  <si>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</si>
  <si>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</si>
  <si>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</si>
  <si>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</si>
  <si>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</si>
  <si>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</si>
  <si>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</si>
  <si>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</si>
  <si>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</si>
  <si>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</si>
  <si>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</si>
  <si>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</si>
  <si>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</si>
  <si>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</si>
  <si>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</si>
  <si>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</si>
  <si>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</si>
  <si>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</si>
  <si>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</si>
  <si>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</si>
  <si>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</si>
  <si>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</si>
  <si>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</si>
  <si>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</si>
  <si>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</si>
  <si>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</si>
  <si>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</si>
  <si>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</si>
  <si>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</si>
  <si>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</si>
  <si>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</si>
  <si>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</si>
  <si>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</si>
  <si>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</si>
  <si>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</si>
  <si>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</si>
  <si>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</si>
  <si>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</si>
  <si>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</si>
  <si>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</si>
  <si>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</si>
  <si>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</si>
  <si>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</si>
  <si>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</si>
  <si>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</si>
  <si>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</si>
  <si>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</si>
  <si>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</si>
  <si>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</si>
  <si>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</si>
  <si>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</si>
  <si>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</si>
  <si>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</si>
  <si>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</si>
  <si>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</si>
  <si>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</si>
  <si>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</si>
  <si>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</si>
  <si>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</si>
  <si>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</si>
  <si>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</si>
  <si>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</si>
  <si>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</si>
  <si>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</si>
  <si>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</si>
  <si>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</si>
  <si>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</si>
  <si>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</si>
  <si>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</si>
  <si>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</si>
  <si>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</si>
  <si>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</si>
  <si>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</si>
  <si>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</si>
  <si>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</si>
  <si>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</si>
  <si>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</si>
  <si>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</si>
  <si>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</si>
  <si>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</si>
  <si>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</si>
  <si>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</si>
  <si>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</si>
  <si>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</si>
  <si>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</si>
  <si>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</si>
  <si>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</si>
  <si>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</si>
  <si>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</si>
  <si>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</si>
  <si>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</si>
  <si>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</si>
  <si>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</si>
  <si>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</si>
  <si>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</si>
  <si>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</si>
  <si>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</si>
  <si>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</si>
  <si>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</si>
  <si>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</si>
  <si>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</si>
  <si>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</si>
  <si>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</si>
  <si>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</si>
  <si>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</si>
  <si>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</si>
  <si>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</si>
  <si>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</si>
  <si>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</si>
  <si>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</si>
  <si>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</si>
  <si>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</si>
  <si>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</si>
  <si>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</si>
  <si>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</si>
  <si>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</si>
  <si>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</si>
  <si>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</si>
  <si>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</si>
  <si>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</si>
  <si>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</si>
  <si>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</si>
  <si>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</si>
  <si>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</si>
  <si>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</si>
  <si>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</si>
  <si>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</si>
  <si>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</si>
  <si>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</si>
  <si>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</si>
  <si>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</si>
  <si>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</si>
  <si>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</si>
  <si>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</si>
  <si>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</si>
  <si>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</si>
  <si>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</si>
  <si>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</si>
  <si>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</si>
  <si>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</si>
  <si>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</si>
  <si>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</si>
  <si>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</si>
  <si>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</si>
  <si>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</si>
  <si>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</si>
  <si>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</si>
  <si>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</si>
  <si>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</si>
  <si>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</si>
  <si>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</si>
  <si>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</si>
  <si>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</si>
  <si>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</si>
  <si>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</si>
  <si>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</si>
  <si>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</si>
  <si>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</si>
  <si>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</si>
  <si>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</si>
  <si>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</si>
  <si>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</si>
  <si>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</si>
  <si>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</si>
  <si>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</si>
  <si>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</si>
  <si>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</si>
  <si>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</si>
  <si>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</si>
  <si>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</si>
  <si>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</si>
  <si>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</si>
  <si>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</si>
  <si>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</si>
  <si>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</si>
  <si>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</si>
  <si>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</si>
  <si>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</si>
  <si>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</si>
  <si>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</si>
  <si>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</si>
  <si>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</si>
  <si>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</si>
  <si>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</si>
  <si>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</si>
  <si>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</si>
  <si>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</si>
  <si>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</si>
  <si>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</si>
  <si>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</si>
  <si>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</si>
  <si>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</si>
  <si>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</si>
  <si>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</si>
  <si>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</si>
  <si>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</si>
  <si>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</si>
  <si>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</si>
  <si>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</si>
  <si>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</si>
  <si>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</si>
  <si>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</si>
  <si>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</si>
  <si>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</si>
  <si>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</si>
  <si>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</si>
  <si>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</si>
  <si>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</si>
  <si>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</si>
  <si>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</si>
  <si>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</si>
  <si>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</si>
  <si>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</si>
  <si>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</si>
  <si>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</si>
  <si>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</si>
  <si>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</si>
  <si>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</si>
  <si>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</si>
  <si>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</si>
  <si>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</si>
  <si>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</si>
  <si>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</si>
  <si>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</si>
  <si>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</si>
  <si>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</si>
  <si>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</si>
  <si>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</si>
  <si>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</si>
  <si>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</si>
  <si>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</si>
  <si>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</si>
  <si>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</si>
  <si>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</si>
  <si>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</si>
  <si>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</si>
  <si>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</si>
  <si>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</si>
  <si>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</si>
  <si>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</si>
  <si>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</si>
  <si>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</si>
  <si>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</si>
  <si>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</si>
  <si>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</si>
  <si>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</si>
  <si>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</si>
  <si>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</si>
  <si>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</si>
  <si>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</si>
  <si>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</si>
  <si>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</si>
  <si>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</si>
  <si>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</si>
  <si>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</si>
  <si>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</si>
  <si>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</si>
  <si>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</si>
  <si>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</si>
  <si>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</si>
  <si>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</si>
  <si>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</si>
  <si>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</si>
  <si>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</si>
  <si>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</si>
  <si>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</si>
  <si>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</si>
  <si>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</si>
  <si>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</si>
  <si>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</si>
  <si>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</si>
  <si>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</si>
  <si>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</si>
  <si>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</si>
  <si>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</si>
  <si>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</si>
  <si>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</si>
  <si>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</si>
  <si>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</si>
  <si>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</si>
  <si>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</si>
  <si>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</si>
  <si>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</si>
  <si>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</si>
  <si>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</si>
  <si>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</si>
  <si>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</si>
  <si>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</si>
  <si>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</si>
  <si>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</si>
  <si>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</si>
  <si>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</si>
  <si>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</si>
  <si>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</si>
  <si>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</si>
  <si>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</si>
  <si>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</si>
  <si>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</si>
  <si>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</si>
  <si>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</si>
  <si>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</si>
  <si>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</si>
  <si>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</si>
  <si>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</si>
  <si>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</si>
  <si>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</si>
  <si>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</si>
  <si>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</si>
  <si>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</si>
  <si>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</si>
  <si>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</si>
  <si>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</si>
  <si>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</si>
  <si>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</si>
  <si>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</si>
  <si>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</si>
  <si>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</si>
  <si>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</si>
  <si>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</si>
  <si>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</si>
  <si>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</si>
  <si>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</si>
  <si>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</si>
  <si>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</si>
  <si>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</si>
  <si>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</si>
  <si>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</si>
  <si>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</si>
  <si>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</si>
  <si>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</si>
  <si>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</si>
  <si>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</si>
  <si>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</si>
  <si>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</si>
  <si>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</si>
  <si>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</si>
  <si>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</si>
  <si>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</si>
  <si>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</si>
  <si>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</si>
  <si>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</si>
  <si>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</si>
  <si>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</si>
  <si>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</si>
  <si>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</si>
  <si>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</si>
  <si>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</si>
  <si>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</si>
  <si>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</si>
  <si>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</si>
  <si>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</si>
  <si>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</si>
  <si>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</si>
  <si>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</si>
  <si>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</si>
  <si>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</si>
  <si>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</si>
  <si>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</si>
  <si>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</si>
  <si>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</si>
  <si>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</si>
  <si>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</si>
  <si>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</si>
  <si>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</si>
  <si>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</si>
  <si>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</si>
  <si>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</si>
  <si>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</si>
  <si>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</si>
  <si>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</si>
  <si>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</si>
  <si>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</si>
  <si>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</si>
  <si>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</si>
  <si>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</si>
  <si>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</si>
  <si>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</si>
  <si>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</si>
  <si>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</si>
  <si>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</si>
  <si>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</si>
  <si>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</si>
  <si>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</si>
  <si>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</si>
  <si>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</si>
  <si>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</si>
  <si>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</si>
  <si>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</si>
  <si>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</si>
  <si>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</si>
  <si>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</si>
  <si>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</si>
  <si>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</si>
  <si>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</si>
  <si>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</si>
  <si>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</si>
  <si>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</si>
  <si>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</si>
  <si>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</si>
  <si>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</si>
  <si>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</si>
  <si>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</si>
  <si>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</si>
  <si>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</si>
  <si>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</si>
  <si>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</si>
  <si>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</si>
  <si>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</si>
  <si>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</si>
  <si>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</si>
  <si>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</si>
  <si>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</si>
  <si>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</si>
  <si>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</si>
  <si>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</si>
  <si>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</si>
  <si>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</si>
  <si>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</si>
  <si>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</si>
  <si>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</si>
  <si>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</si>
  <si>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</si>
  <si>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</si>
  <si>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</si>
  <si>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</si>
  <si>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</si>
  <si>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</si>
  <si>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</si>
  <si>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</si>
  <si>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</si>
  <si>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</si>
  <si>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</si>
  <si>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</si>
  <si>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</si>
  <si>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</si>
  <si>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</si>
  <si>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</si>
  <si>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</si>
  <si>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</si>
  <si>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</si>
  <si>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</si>
  <si>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</si>
  <si>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</si>
  <si>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</si>
  <si>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</si>
  <si>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</si>
  <si>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</si>
  <si>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</si>
  <si>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</si>
  <si>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</si>
  <si>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</si>
  <si>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</si>
  <si>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</si>
  <si>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</si>
  <si>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</si>
  <si>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</si>
  <si>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</si>
  <si>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</si>
  <si>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</si>
  <si>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</si>
  <si>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</si>
  <si>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</si>
  <si>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</si>
  <si>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</si>
  <si>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</si>
  <si>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</si>
  <si>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</si>
  <si>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</si>
  <si>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</si>
  <si>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</si>
  <si>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</si>
  <si>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</si>
  <si>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</si>
  <si>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</si>
  <si>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</si>
  <si>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</si>
  <si>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</si>
  <si>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</si>
  <si>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</si>
  <si>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</si>
  <si>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</si>
  <si>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</si>
  <si>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</si>
  <si>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</si>
  <si>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</si>
  <si>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</si>
  <si>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</si>
  <si>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</si>
  <si>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</si>
  <si>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</si>
  <si>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</si>
  <si>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</si>
  <si>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</si>
  <si>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</si>
  <si>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</si>
  <si>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</si>
  <si>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</si>
  <si>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</si>
  <si>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</si>
  <si>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</si>
  <si>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</si>
  <si>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</si>
  <si>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</si>
  <si>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</si>
  <si>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</si>
  <si>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</si>
  <si>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</si>
  <si>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</si>
  <si>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</si>
  <si>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</si>
  <si>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</si>
  <si>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</si>
  <si>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</si>
  <si>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</si>
  <si>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</si>
  <si>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</si>
  <si>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</si>
  <si>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</si>
  <si>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</si>
  <si>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</si>
  <si>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</si>
  <si>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</si>
  <si>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</si>
  <si>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</si>
  <si>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</si>
  <si>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</si>
  <si>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</si>
  <si>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</si>
  <si>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</si>
  <si>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</si>
  <si>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</si>
  <si>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</si>
  <si>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</si>
  <si>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</si>
  <si>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</si>
  <si>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</si>
  <si>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</si>
  <si>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</si>
  <si>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</si>
  <si>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</si>
  <si>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</si>
  <si>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</si>
  <si>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</si>
  <si>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</si>
  <si>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</si>
  <si>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</si>
  <si>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</si>
  <si>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</si>
  <si>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</si>
  <si>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</si>
  <si>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</si>
  <si>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</si>
  <si>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</si>
  <si>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</si>
  <si>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</si>
  <si>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</si>
  <si>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</si>
  <si>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</si>
  <si>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</si>
  <si>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</si>
  <si>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</si>
  <si>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</si>
  <si>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</si>
  <si>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</si>
  <si>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</si>
  <si>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</si>
  <si>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</si>
  <si>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</si>
  <si>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</si>
  <si>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</si>
  <si>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</si>
  <si>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</si>
  <si>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</si>
  <si>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</si>
  <si>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</si>
  <si>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</si>
  <si>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</si>
  <si>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</si>
  <si>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</si>
  <si>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</si>
  <si>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</si>
  <si>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</si>
  <si>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</si>
  <si>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</si>
  <si>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</si>
  <si>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</si>
  <si>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</si>
  <si>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</si>
  <si>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</si>
  <si>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</si>
  <si>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</si>
  <si>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</si>
  <si>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</si>
  <si>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</si>
  <si>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</si>
  <si>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</si>
  <si>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</si>
  <si>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</si>
  <si>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</si>
  <si>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</si>
  <si>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</si>
  <si>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</si>
  <si>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</si>
  <si>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</si>
  <si>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</si>
  <si>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</si>
  <si>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</si>
  <si>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</si>
  <si>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</si>
  <si>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</si>
  <si>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</si>
  <si>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</si>
  <si>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</si>
  <si>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</si>
  <si>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</si>
  <si>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</si>
  <si>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</si>
  <si>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</si>
  <si>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</si>
  <si>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</si>
  <si>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</si>
  <si>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</si>
  <si>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</si>
  <si>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</si>
  <si>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</si>
  <si>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</si>
  <si>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</si>
  <si>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</si>
  <si>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</si>
  <si>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</si>
  <si>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</si>
  <si>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</si>
  <si>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</si>
  <si>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</si>
  <si>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</si>
  <si>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</si>
  <si>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</si>
  <si>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</si>
  <si>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</si>
  <si>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</si>
  <si>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</si>
  <si>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</si>
  <si>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</si>
  <si>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</si>
  <si>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</si>
  <si>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</si>
  <si>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</si>
  <si>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</si>
  <si>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</si>
  <si>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</si>
  <si>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</si>
  <si>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</si>
  <si>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</si>
  <si>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</si>
  <si>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</si>
  <si>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</si>
  <si>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</si>
  <si>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</si>
  <si>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</si>
  <si>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</si>
  <si>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</si>
  <si>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</si>
  <si>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</si>
  <si>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</si>
  <si>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</si>
  <si>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</si>
  <si>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</si>
  <si>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</si>
  <si>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</si>
  <si>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</si>
  <si>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</si>
  <si>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</si>
  <si>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</si>
  <si>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</si>
  <si>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</si>
  <si>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</si>
  <si>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</si>
  <si>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</si>
  <si>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</si>
  <si>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</si>
  <si>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</si>
  <si>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</si>
  <si>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</si>
  <si>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</si>
  <si>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</si>
  <si>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</si>
  <si>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</si>
  <si>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</si>
  <si>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</si>
  <si>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</si>
  <si>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</si>
  <si>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</si>
  <si>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</si>
  <si>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</si>
  <si>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</si>
  <si>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</si>
  <si>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</si>
  <si>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</si>
  <si>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</si>
  <si>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</si>
  <si>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</si>
  <si>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</si>
  <si>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</si>
  <si>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</si>
  <si>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</si>
  <si>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</si>
  <si>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</si>
  <si>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</si>
  <si>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</si>
  <si>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</si>
  <si>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</si>
  <si>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</si>
  <si>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</si>
  <si>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</si>
  <si>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</si>
  <si>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</si>
  <si>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</si>
  <si>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</si>
  <si>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</si>
  <si>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</si>
  <si>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</si>
  <si>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</si>
  <si>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</si>
  <si>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</si>
  <si>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</si>
  <si>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</si>
  <si>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</si>
  <si>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</si>
  <si>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</si>
  <si>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</si>
  <si>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</si>
  <si>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</si>
  <si>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</si>
  <si>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</si>
  <si>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</si>
  <si>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</si>
  <si>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</si>
  <si>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</si>
  <si>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</si>
  <si>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</si>
  <si>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</si>
  <si>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</si>
  <si>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</si>
  <si>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</si>
  <si>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</si>
  <si>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</si>
  <si>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</si>
  <si>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</si>
  <si>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</si>
  <si>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</si>
  <si>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</si>
  <si>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</si>
  <si>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</si>
  <si>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</si>
  <si>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</si>
  <si>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</si>
  <si>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</si>
  <si>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</si>
  <si>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</si>
  <si>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</si>
  <si>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</si>
  <si>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</si>
  <si>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</si>
  <si>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</si>
  <si>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</si>
  <si>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</si>
  <si>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</si>
  <si>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</si>
  <si>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</si>
  <si>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</si>
  <si>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</si>
  <si>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</si>
  <si>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</si>
  <si>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</si>
  <si>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</si>
  <si>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</si>
  <si>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</si>
  <si>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</si>
  <si>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</si>
  <si>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</si>
  <si>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</si>
  <si>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</si>
  <si>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</si>
  <si>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</si>
  <si>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</si>
  <si>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</si>
  <si>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</si>
  <si>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</si>
  <si>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</si>
  <si>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</si>
  <si>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</si>
  <si>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</si>
  <si>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</si>
  <si>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</si>
  <si>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</si>
  <si>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</si>
  <si>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</si>
  <si>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</si>
  <si>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</si>
  <si>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</si>
  <si>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</si>
  <si>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</si>
  <si>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</si>
  <si>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</si>
  <si>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</si>
  <si>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</si>
  <si>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</si>
  <si>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</si>
  <si>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</si>
  <si>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</si>
  <si>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</si>
  <si>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</si>
  <si>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</si>
  <si>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</si>
  <si>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</si>
  <si>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</si>
  <si>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</si>
  <si>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</si>
  <si>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</si>
  <si>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</si>
  <si>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</si>
  <si>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</si>
  <si>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</si>
  <si>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</si>
  <si>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</si>
  <si>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</si>
  <si>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</si>
  <si>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</si>
  <si>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</si>
  <si>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</si>
  <si>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</si>
  <si>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</si>
  <si>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</si>
  <si>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</si>
  <si>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</si>
  <si>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</si>
  <si>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</si>
  <si>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</si>
  <si>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</si>
  <si>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</si>
  <si>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</si>
  <si>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</si>
  <si>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</si>
  <si>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</si>
  <si>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</si>
  <si>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</si>
  <si>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</si>
  <si>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</si>
  <si>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</si>
  <si>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</si>
  <si>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</si>
  <si>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</si>
  <si>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</si>
  <si>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</si>
  <si>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</si>
  <si>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</si>
  <si>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</si>
  <si>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</si>
  <si>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</si>
  <si>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</si>
  <si>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</si>
  <si>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</si>
  <si>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</si>
  <si>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</si>
  <si>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</si>
  <si>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</si>
  <si>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</si>
  <si>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</si>
  <si>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</si>
  <si>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</si>
  <si>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</si>
  <si>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</si>
  <si>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</si>
  <si>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</si>
  <si>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</si>
  <si>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</si>
  <si>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</si>
  <si>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</si>
  <si>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</si>
  <si>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</si>
  <si>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</si>
  <si>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</si>
  <si>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</si>
  <si>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</si>
  <si>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</si>
  <si>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</si>
  <si>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</si>
  <si>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</si>
  <si>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</si>
  <si>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</si>
  <si>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</si>
  <si>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</si>
  <si>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</si>
  <si>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</si>
  <si>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</si>
  <si>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</si>
  <si>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</si>
  <si>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</si>
  <si>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</si>
  <si>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</si>
  <si>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</si>
  <si>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</si>
  <si>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</si>
  <si>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</si>
  <si>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</si>
  <si>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</si>
  <si>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</si>
  <si>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</si>
  <si>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</si>
  <si>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</si>
  <si>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</si>
  <si>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</si>
  <si>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</si>
  <si>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</si>
  <si>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</si>
  <si>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</si>
  <si>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</si>
  <si>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</si>
  <si>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</si>
  <si>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</si>
  <si>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</si>
  <si>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</si>
  <si>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</si>
  <si>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</si>
  <si>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</si>
  <si>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</si>
  <si>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</si>
  <si>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</si>
  <si>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</si>
  <si>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</si>
  <si>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</si>
  <si>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</si>
  <si>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</si>
  <si>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</si>
  <si>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</si>
  <si>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</si>
  <si>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</si>
  <si>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</si>
  <si>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</si>
  <si>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</si>
  <si>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</si>
  <si>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</si>
  <si>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</si>
  <si>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</si>
  <si>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</si>
  <si>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</si>
  <si>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</si>
  <si>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</si>
  <si>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</si>
  <si>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</si>
  <si>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</si>
  <si>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</si>
  <si>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</si>
  <si>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</si>
  <si>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</si>
  <si>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</si>
  <si>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</si>
  <si>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</si>
  <si>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</si>
  <si>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</si>
  <si>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</si>
  <si>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</si>
  <si>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</si>
  <si>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</si>
  <si>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</si>
  <si>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</si>
  <si>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</si>
  <si>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</si>
  <si>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</si>
  <si>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</si>
  <si>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</si>
  <si>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</si>
  <si>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</si>
  <si>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</si>
  <si>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</si>
  <si>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</si>
  <si>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</si>
  <si>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</si>
  <si>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</si>
  <si>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</si>
  <si>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</si>
  <si>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</si>
  <si>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</si>
  <si>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</si>
  <si>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</si>
  <si>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</si>
  <si>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</si>
  <si>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</si>
  <si>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</si>
  <si>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</si>
  <si>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</si>
  <si>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</si>
  <si>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</si>
  <si>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</si>
  <si>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</si>
  <si>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</si>
  <si>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</si>
  <si>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</si>
  <si>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</si>
  <si>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</si>
  <si>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</si>
  <si>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</si>
  <si>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</si>
  <si>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</si>
  <si>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</si>
  <si>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</si>
  <si>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</si>
  <si>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</si>
  <si>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</si>
  <si>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</si>
  <si>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</si>
  <si>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</si>
  <si>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</si>
  <si>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</si>
  <si>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</si>
  <si>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</si>
  <si>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</si>
  <si>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</si>
  <si>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</si>
  <si>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</si>
  <si>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</si>
  <si>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</si>
  <si>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</si>
  <si>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</si>
  <si>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</si>
  <si>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</si>
  <si>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</si>
  <si>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</si>
  <si>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</si>
  <si>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</si>
  <si>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</si>
  <si>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</si>
  <si>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</si>
  <si>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</si>
  <si>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</si>
  <si>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</si>
  <si>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</si>
  <si>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</si>
  <si>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</si>
  <si>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</si>
  <si>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</si>
  <si>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</si>
  <si>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</si>
  <si>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</si>
  <si>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</si>
  <si>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</si>
  <si>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</si>
  <si>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</si>
  <si>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</si>
  <si>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</si>
  <si>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</si>
  <si>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</si>
  <si>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</si>
  <si>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</si>
  <si>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</si>
  <si>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</si>
  <si>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</si>
  <si>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</si>
  <si>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</si>
  <si>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</si>
  <si>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</si>
  <si>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</si>
  <si>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</si>
  <si>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</si>
  <si>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</si>
  <si>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</si>
  <si>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</si>
  <si>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</si>
  <si>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</si>
  <si>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</si>
  <si>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</si>
  <si>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</si>
  <si>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</si>
  <si>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</si>
  <si>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</si>
  <si>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</si>
  <si>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</si>
  <si>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</si>
  <si>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</si>
  <si>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</si>
  <si>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</si>
  <si>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</si>
  <si>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</si>
  <si>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</si>
  <si>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</si>
  <si>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</si>
  <si>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</si>
  <si>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</si>
  <si>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</si>
  <si>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</si>
  <si>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</si>
  <si>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</si>
  <si>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</si>
  <si>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</si>
  <si>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</si>
  <si>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</si>
  <si>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</si>
  <si>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</si>
  <si>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</si>
  <si>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</si>
  <si>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</si>
  <si>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</si>
  <si>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</si>
  <si>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</si>
  <si>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</si>
  <si>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</si>
  <si>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</si>
  <si>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</si>
  <si>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</si>
  <si>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</si>
  <si>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</si>
  <si>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</si>
  <si>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</si>
  <si>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</si>
  <si>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</si>
  <si>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</si>
  <si>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</si>
  <si>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</si>
  <si>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</si>
  <si>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</si>
  <si>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</si>
  <si>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</si>
  <si>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</si>
  <si>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</si>
  <si>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</si>
  <si>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</si>
  <si>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</si>
  <si>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</si>
  <si>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</si>
  <si>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</si>
  <si>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</si>
  <si>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</si>
  <si>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</si>
  <si>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</si>
  <si>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</si>
  <si>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</si>
  <si>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</si>
  <si>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</si>
  <si>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</si>
  <si>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</si>
  <si>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</si>
  <si>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</si>
  <si>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</si>
  <si>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</si>
  <si>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</si>
  <si>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</si>
  <si>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</si>
  <si>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</si>
  <si>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</si>
  <si>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</si>
  <si>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</si>
  <si>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</si>
  <si>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</si>
  <si>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</si>
  <si>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</si>
  <si>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</si>
  <si>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</si>
  <si>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</si>
  <si>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</si>
  <si>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</si>
  <si>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</si>
  <si>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</si>
  <si>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</si>
  <si>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</si>
  <si>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</si>
  <si>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</si>
  <si>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</si>
  <si>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</si>
  <si>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</si>
  <si>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</si>
  <si>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</si>
  <si>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</si>
  <si>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</si>
  <si>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</si>
  <si>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</si>
  <si>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</si>
  <si>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</si>
  <si>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</si>
  <si>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</si>
  <si>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</si>
  <si>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</si>
  <si>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</si>
  <si>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</si>
  <si>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</si>
  <si>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</si>
  <si>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</si>
  <si>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</si>
  <si>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</si>
  <si>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</si>
  <si>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</si>
  <si>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</si>
  <si>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</si>
  <si>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</si>
  <si>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</si>
  <si>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</si>
  <si>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</si>
  <si>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</si>
  <si>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</si>
  <si>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</si>
  <si>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</si>
  <si>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</si>
  <si>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</si>
  <si>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</si>
  <si>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</si>
  <si>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</si>
  <si>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</si>
  <si>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</si>
  <si>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</si>
  <si>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</si>
  <si>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</si>
  <si>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</si>
  <si>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</si>
  <si>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</si>
  <si>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</si>
  <si>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</si>
  <si>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</si>
  <si>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</si>
  <si>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</si>
  <si>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</si>
  <si>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</si>
  <si>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</si>
  <si>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</si>
  <si>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</si>
  <si>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</si>
  <si>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</si>
  <si>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</si>
  <si>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</si>
  <si>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</si>
  <si>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</si>
  <si>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</si>
  <si>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</si>
  <si>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</si>
  <si>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</si>
  <si>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</si>
  <si>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</si>
  <si>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</si>
  <si>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</si>
  <si>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</si>
  <si>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</si>
  <si>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</si>
  <si>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</si>
  <si>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</si>
  <si>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</si>
  <si>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</si>
  <si>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</si>
  <si>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</si>
  <si>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</si>
  <si>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</si>
  <si>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</si>
  <si>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</si>
  <si>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</si>
  <si>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</si>
  <si>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</si>
  <si>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</si>
  <si>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</si>
  <si>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</si>
  <si>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</si>
  <si>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</si>
  <si>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</si>
  <si>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</si>
  <si>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</si>
  <si>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</si>
  <si>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</si>
  <si>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</si>
  <si>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</si>
  <si>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</si>
  <si>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</si>
  <si>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</si>
  <si>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</si>
  <si>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</si>
  <si>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</si>
  <si>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</si>
  <si>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</si>
  <si>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</si>
  <si>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</si>
  <si>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</si>
  <si>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</si>
  <si>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</si>
  <si>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</si>
  <si>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</si>
  <si>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</si>
  <si>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</si>
  <si>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</si>
  <si>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</si>
  <si>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</si>
  <si>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</si>
  <si>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</si>
  <si>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</si>
  <si>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</si>
  <si>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</si>
  <si>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</si>
  <si>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</si>
  <si>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</si>
  <si>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</si>
  <si>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</si>
  <si>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</si>
  <si>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</si>
  <si>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</si>
  <si>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</si>
  <si>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</si>
  <si>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</si>
  <si>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</si>
  <si>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</si>
  <si>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</si>
  <si>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</si>
  <si>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</si>
  <si>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</si>
  <si>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</si>
  <si>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</si>
  <si>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</si>
  <si>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</si>
  <si>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</si>
  <si>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</si>
  <si>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</si>
  <si>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</si>
  <si>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</si>
  <si>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</si>
  <si>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</si>
  <si>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</si>
  <si>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</si>
  <si>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</si>
  <si>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</si>
  <si>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</si>
  <si>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</si>
  <si>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</si>
  <si>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</si>
  <si>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</si>
  <si>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</si>
  <si>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</si>
  <si>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</si>
  <si>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</si>
  <si>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</si>
  <si>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</si>
  <si>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</si>
  <si>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</si>
  <si>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</si>
  <si>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</si>
  <si>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</si>
  <si>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</si>
  <si>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</si>
  <si>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</si>
  <si>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</si>
  <si>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</si>
  <si>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</si>
  <si>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</si>
  <si>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</si>
  <si>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</si>
  <si>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</si>
  <si>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</si>
  <si>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</si>
  <si>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</si>
  <si>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</si>
  <si>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</si>
  <si>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</si>
  <si>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</si>
  <si>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</si>
  <si>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</si>
  <si>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</si>
  <si>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</si>
  <si>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</si>
  <si>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</si>
  <si>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</si>
  <si>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</si>
  <si>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</si>
  <si>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</si>
  <si>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</si>
  <si>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</si>
  <si>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</si>
  <si>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</si>
  <si>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</si>
  <si>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</si>
  <si>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</si>
  <si>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</si>
  <si>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</si>
  <si>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</si>
  <si>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</si>
  <si>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</si>
  <si>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</si>
  <si>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</si>
  <si>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</si>
  <si>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</si>
  <si>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</si>
  <si>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</si>
  <si>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</si>
  <si>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</si>
  <si>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</si>
  <si>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</si>
  <si>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</si>
  <si>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</si>
  <si>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</si>
  <si>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</si>
  <si>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</si>
  <si>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</si>
  <si>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</si>
  <si>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</si>
  <si>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</si>
  <si>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</si>
  <si>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</si>
  <si>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</si>
  <si>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</si>
  <si>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</si>
  <si>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</si>
  <si>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</si>
  <si>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</si>
  <si>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</si>
  <si>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</si>
  <si>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</si>
  <si>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</si>
  <si>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</si>
  <si>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</si>
  <si>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</si>
  <si>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</si>
  <si>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</si>
  <si>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</si>
  <si>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</si>
  <si>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</si>
  <si>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</si>
  <si>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</si>
  <si>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</si>
  <si>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</si>
  <si>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</si>
  <si>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</si>
  <si>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</si>
  <si>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</si>
  <si>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</si>
  <si>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</si>
  <si>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</si>
  <si>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</si>
  <si>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</si>
  <si>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</si>
  <si>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</si>
  <si>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</si>
  <si>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</si>
  <si>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</si>
  <si>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</si>
  <si>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</si>
  <si>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</si>
  <si>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</si>
  <si>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</si>
  <si>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</si>
  <si>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</si>
  <si>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</si>
  <si>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</si>
  <si>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</si>
  <si>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</si>
  <si>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</si>
  <si>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</si>
  <si>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</si>
  <si>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</si>
  <si>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</si>
  <si>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</si>
  <si>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</si>
  <si>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</si>
  <si>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</si>
  <si>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</si>
  <si>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</si>
  <si>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</si>
  <si>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</si>
  <si>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</si>
  <si>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</si>
  <si>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</si>
  <si>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</si>
  <si>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</si>
  <si>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</si>
  <si>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</si>
  <si>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</si>
  <si>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</si>
  <si>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</si>
  <si>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</si>
  <si>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</si>
  <si>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</si>
  <si>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</si>
  <si>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</si>
  <si>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</si>
  <si>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</si>
  <si>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</si>
  <si>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</si>
  <si>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</si>
  <si>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</si>
  <si>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</si>
  <si>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</si>
  <si>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</si>
  <si>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</si>
  <si>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</si>
  <si>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</si>
  <si>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</si>
  <si>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</si>
  <si>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</si>
  <si>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</si>
  <si>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</si>
  <si>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</si>
  <si>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</si>
  <si>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</si>
  <si>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</si>
  <si>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</si>
  <si>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</si>
  <si>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</si>
  <si>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</si>
  <si>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</si>
  <si>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</si>
  <si>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</si>
  <si>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</si>
  <si>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</si>
  <si>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</si>
  <si>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</si>
  <si>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</si>
  <si>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</si>
  <si>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</si>
  <si>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</si>
  <si>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</si>
  <si>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</si>
  <si>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</si>
  <si>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</si>
  <si>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</si>
  <si>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</si>
  <si>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</si>
  <si>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</si>
  <si>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</si>
  <si>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</si>
  <si>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</si>
  <si>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</si>
  <si>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</si>
  <si>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</si>
  <si>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</si>
  <si>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</si>
  <si>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</si>
  <si>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</si>
  <si>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</si>
  <si>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</si>
  <si>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</si>
  <si>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</si>
  <si>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</si>
  <si>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</si>
  <si>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</si>
  <si>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</si>
  <si>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</si>
  <si>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</si>
  <si>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</si>
  <si>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</si>
  <si>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</si>
  <si>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</si>
  <si>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</si>
  <si>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</si>
  <si>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</si>
  <si>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</si>
  <si>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</si>
  <si>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</si>
  <si>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</si>
  <si>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</si>
  <si>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</si>
  <si>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</si>
  <si>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</si>
  <si>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</si>
  <si>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</si>
  <si>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</si>
  <si>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</si>
  <si>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</si>
  <si>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</si>
  <si>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</si>
  <si>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</si>
  <si>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</si>
  <si>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</si>
  <si>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</si>
  <si>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</si>
  <si>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</si>
  <si>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</si>
  <si>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</si>
  <si>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</si>
  <si>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</si>
  <si>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</si>
  <si>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</si>
  <si>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</si>
  <si>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</si>
  <si>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</si>
  <si>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</si>
  <si>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</si>
  <si>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</si>
  <si>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</si>
  <si>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</si>
  <si>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</si>
  <si>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</si>
  <si>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</si>
  <si>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</si>
  <si>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</si>
  <si>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</si>
  <si>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</si>
  <si>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</si>
  <si>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</si>
  <si>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</si>
  <si>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</si>
  <si>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</si>
  <si>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</si>
  <si>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</si>
  <si>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</si>
  <si>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</si>
  <si>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</si>
  <si>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</si>
  <si>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</si>
  <si>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</si>
  <si>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</si>
  <si>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</si>
  <si>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</si>
  <si>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</si>
  <si>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</si>
  <si>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</si>
  <si>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</si>
  <si>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</si>
  <si>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</si>
  <si>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</si>
  <si>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</si>
  <si>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</si>
  <si>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</si>
  <si>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</si>
  <si>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</si>
  <si>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</si>
  <si>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</si>
  <si>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</si>
  <si>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</si>
  <si>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</si>
  <si>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</si>
  <si>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</si>
  <si>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</si>
  <si>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</si>
  <si>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</si>
  <si>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</si>
  <si>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</si>
  <si>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</si>
  <si>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</si>
  <si>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</si>
  <si>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</si>
  <si>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</si>
  <si>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</si>
  <si>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</si>
  <si>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</si>
  <si>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</si>
  <si>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</si>
  <si>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</si>
  <si>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</si>
  <si>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</si>
  <si>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</si>
  <si>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</si>
  <si>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</si>
  <si>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</si>
  <si>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</si>
  <si>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</si>
  <si>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</si>
  <si>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</si>
  <si>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</si>
  <si>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</si>
  <si>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</si>
  <si>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</si>
  <si>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</si>
  <si>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</si>
  <si>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</si>
  <si>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</si>
  <si>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</si>
  <si>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</si>
  <si>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</si>
  <si>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</si>
  <si>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</si>
  <si>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</si>
  <si>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</si>
  <si>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</si>
  <si>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</si>
  <si>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</si>
  <si>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</si>
  <si>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</si>
  <si>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</si>
  <si>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</si>
  <si>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</si>
  <si>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</si>
  <si>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</si>
  <si>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</si>
  <si>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</si>
  <si>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</si>
  <si>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</si>
  <si>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</si>
  <si>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</si>
  <si>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</si>
  <si>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</si>
  <si>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</si>
  <si>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</si>
  <si>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</si>
  <si>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</si>
  <si>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</si>
  <si>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</si>
  <si>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</si>
  <si>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</si>
  <si>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</si>
  <si>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</si>
  <si>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</si>
  <si>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</si>
  <si>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</si>
  <si>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</si>
  <si>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</si>
  <si>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</si>
  <si>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</si>
  <si>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</si>
  <si>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</si>
  <si>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</si>
  <si>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</si>
  <si>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</si>
  <si>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</si>
  <si>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</si>
  <si>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</si>
  <si>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</si>
  <si>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</si>
  <si>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</si>
  <si>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</si>
  <si>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</si>
  <si>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</si>
  <si>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</si>
  <si>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</si>
  <si>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</si>
  <si>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</si>
  <si>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</si>
  <si>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</si>
  <si>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</si>
  <si>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</si>
  <si>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</si>
  <si>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</si>
  <si>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</si>
  <si>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</si>
  <si>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</si>
  <si>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</si>
  <si>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</si>
  <si>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</si>
  <si>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</si>
  <si>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</si>
  <si>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</si>
  <si>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</si>
  <si>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</si>
  <si>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</si>
  <si>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</si>
  <si>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</si>
  <si>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</si>
  <si>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</si>
  <si>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</si>
  <si>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</si>
  <si>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</si>
  <si>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</si>
  <si>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</si>
  <si>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</si>
  <si>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</si>
  <si>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</si>
  <si>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</si>
  <si>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</si>
  <si>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</si>
  <si>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</si>
  <si>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</si>
  <si>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</si>
  <si>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</si>
  <si>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</si>
  <si>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</si>
  <si>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</si>
  <si>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</si>
  <si>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</si>
  <si>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</si>
  <si>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</si>
  <si>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</si>
  <si>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</si>
  <si>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</si>
  <si>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</si>
  <si>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</si>
  <si>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</si>
  <si>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</si>
  <si>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</si>
  <si>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</si>
  <si>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</si>
  <si>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</si>
  <si>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</si>
  <si>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</si>
  <si>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</si>
  <si>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</si>
  <si>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</si>
  <si>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</si>
  <si>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</si>
  <si>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</si>
  <si>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</si>
  <si>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</si>
  <si>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</si>
  <si>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</si>
  <si>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</si>
  <si>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</si>
  <si>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</si>
  <si>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</si>
  <si>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</si>
  <si>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</si>
  <si>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</si>
  <si>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</si>
  <si>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</si>
  <si>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</si>
  <si>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</si>
  <si>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</si>
  <si>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</si>
  <si>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</si>
  <si>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</si>
  <si>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</si>
  <si>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</si>
  <si>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</si>
  <si>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</si>
  <si>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</si>
  <si>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</si>
  <si>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</si>
  <si>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</si>
  <si>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</si>
  <si>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</si>
  <si>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</si>
  <si>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</si>
  <si>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</si>
  <si>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</si>
  <si>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</si>
  <si>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</si>
  <si>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</si>
  <si>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</si>
  <si>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</si>
  <si>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</si>
  <si>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</si>
  <si>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</si>
  <si>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</si>
  <si>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</si>
  <si>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</si>
  <si>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</si>
  <si>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</si>
  <si>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</si>
  <si>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</si>
  <si>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</si>
  <si>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</si>
  <si>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</si>
  <si>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</si>
  <si>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</si>
  <si>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</si>
  <si>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</si>
  <si>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</si>
  <si>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</si>
  <si>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</si>
  <si>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</si>
  <si>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</si>
  <si>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</si>
  <si>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</si>
  <si>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</si>
  <si>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</si>
  <si>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</si>
  <si>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</si>
  <si>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</si>
  <si>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</si>
  <si>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</si>
  <si>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</si>
  <si>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</si>
  <si>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</si>
  <si>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</si>
  <si>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</si>
  <si>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</si>
  <si>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</si>
  <si>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</si>
  <si>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</si>
  <si>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</si>
  <si>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</si>
  <si>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</si>
  <si>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</si>
  <si>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</si>
  <si>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</si>
  <si>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</si>
  <si>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</si>
  <si>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</si>
  <si>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</si>
  <si>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</si>
  <si>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</si>
  <si>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</si>
  <si>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</si>
  <si>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</si>
  <si>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</si>
  <si>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</si>
  <si>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</si>
  <si>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</si>
  <si>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</si>
  <si>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</si>
  <si>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</si>
  <si>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</si>
  <si>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</si>
  <si>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</si>
  <si>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</si>
  <si>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</si>
  <si>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</si>
  <si>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</si>
  <si>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</si>
  <si>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</si>
  <si>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</si>
  <si>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</si>
  <si>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</si>
  <si>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</si>
  <si>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</si>
  <si>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</si>
  <si>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</si>
  <si>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</si>
  <si>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</si>
  <si>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</si>
  <si>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</si>
  <si>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</si>
  <si>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</si>
  <si>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</si>
  <si>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</si>
  <si>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</si>
  <si>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</si>
  <si>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</si>
  <si>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</si>
  <si>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</si>
  <si>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</si>
  <si>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</si>
  <si>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</si>
  <si>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</si>
  <si>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</si>
  <si>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</si>
  <si>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</si>
  <si>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</si>
  <si>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</si>
  <si>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</si>
  <si>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</si>
  <si>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</si>
  <si>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</si>
  <si>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</si>
  <si>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</si>
  <si>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</si>
  <si>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</si>
  <si>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</si>
  <si>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</si>
  <si>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</si>
  <si>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</si>
  <si>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</si>
  <si>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</si>
  <si>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</si>
  <si>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</si>
  <si>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</si>
  <si>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</si>
  <si>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</si>
  <si>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</si>
  <si>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</si>
  <si>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</si>
  <si>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</si>
  <si>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</si>
  <si>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</si>
  <si>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</si>
  <si>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</si>
  <si>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</si>
  <si>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</si>
  <si>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</si>
  <si>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</si>
  <si>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</si>
  <si>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</si>
  <si>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</si>
  <si>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</si>
  <si>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</si>
  <si>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</si>
  <si>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</si>
  <si>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</si>
  <si>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</si>
  <si>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</si>
  <si>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</si>
  <si>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</si>
  <si>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</si>
  <si>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</si>
  <si>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</si>
  <si>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</si>
  <si>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</si>
  <si>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</si>
  <si>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</si>
  <si>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</si>
  <si>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</si>
  <si>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</si>
  <si>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</si>
  <si>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</si>
  <si>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</si>
  <si>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</si>
  <si>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</si>
  <si>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</si>
  <si>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</si>
  <si>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</si>
  <si>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</si>
  <si>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</si>
  <si>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</si>
  <si>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</si>
  <si>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</si>
  <si>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</si>
  <si>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</si>
  <si>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</si>
  <si>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</si>
  <si>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</si>
  <si>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</si>
  <si>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</si>
  <si>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</si>
  <si>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</si>
  <si>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</si>
  <si>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</si>
  <si>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</si>
  <si>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</si>
  <si>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</si>
  <si>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</si>
  <si>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</si>
  <si>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</si>
  <si>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</si>
  <si>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</si>
  <si>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</si>
  <si>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</si>
  <si>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</si>
  <si>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</si>
  <si>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</si>
  <si>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</si>
  <si>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</si>
  <si>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</si>
  <si>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</si>
  <si>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</si>
  <si>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</si>
  <si>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</si>
  <si>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</si>
  <si>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</si>
  <si>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</si>
  <si>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</si>
  <si>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</si>
  <si>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</si>
  <si>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</si>
  <si>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</si>
  <si>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</si>
  <si>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</si>
  <si>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</si>
  <si>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</si>
  <si>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</si>
  <si>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</si>
  <si>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</si>
  <si>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</si>
  <si>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</si>
  <si>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</si>
  <si>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</si>
  <si>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</si>
  <si>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</si>
  <si>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</si>
  <si>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</si>
  <si>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</si>
  <si>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</si>
  <si>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</si>
  <si>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</si>
  <si>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</si>
  <si>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</si>
  <si>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</si>
  <si>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</si>
  <si>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</si>
  <si>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</si>
  <si>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</si>
  <si>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</si>
  <si>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</si>
  <si>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</si>
  <si>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</si>
  <si>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</si>
  <si>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</si>
  <si>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</si>
  <si>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</si>
  <si>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</si>
  <si>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</si>
  <si>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</si>
  <si>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</si>
  <si>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</si>
  <si>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</si>
  <si>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</si>
  <si>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</si>
  <si>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</si>
  <si>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</si>
  <si>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</si>
  <si>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</si>
  <si>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</si>
  <si>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</si>
  <si>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</si>
  <si>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</si>
  <si>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</si>
  <si>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</si>
  <si>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</si>
  <si>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</si>
  <si>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</si>
  <si>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</si>
  <si>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</si>
  <si>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</si>
  <si>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</si>
  <si>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</si>
  <si>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</si>
  <si>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</si>
  <si>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</si>
  <si>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</si>
  <si>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</si>
  <si>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</si>
  <si>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</si>
  <si>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</si>
  <si>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</si>
  <si>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</si>
  <si>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</si>
  <si>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</si>
  <si>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</si>
  <si>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</si>
  <si>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</si>
  <si>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</si>
  <si>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</si>
  <si>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</si>
  <si>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</si>
  <si>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</si>
  <si>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</si>
  <si>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</si>
  <si>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</si>
  <si>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</si>
  <si>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</si>
  <si>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</si>
  <si>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</si>
  <si>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</si>
  <si>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</si>
  <si>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</si>
  <si>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</si>
  <si>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</si>
  <si>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</si>
  <si>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</si>
  <si>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</si>
  <si>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</si>
  <si>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</si>
  <si>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</si>
  <si>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</si>
  <si>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</si>
  <si>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</si>
  <si>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</si>
  <si>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</si>
  <si>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</si>
  <si>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</si>
  <si>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</si>
  <si>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</si>
  <si>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</si>
  <si>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</si>
  <si>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</si>
  <si>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</si>
  <si>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</si>
  <si>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</si>
  <si>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</si>
  <si>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</si>
  <si>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</si>
  <si>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</si>
  <si>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</si>
  <si>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</si>
  <si>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</si>
  <si>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</si>
  <si>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</si>
  <si>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</si>
  <si>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</si>
  <si>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</si>
  <si>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</si>
  <si>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</si>
  <si>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</si>
  <si>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</si>
  <si>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</si>
  <si>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</si>
  <si>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</si>
  <si>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</si>
  <si>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</si>
  <si>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</si>
  <si>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</si>
  <si>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</si>
  <si>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</si>
  <si>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</si>
  <si>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</si>
  <si>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</si>
  <si>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</si>
  <si>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</si>
  <si>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</si>
  <si>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</si>
  <si>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</si>
  <si>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</si>
  <si>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</si>
  <si>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</si>
  <si>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</si>
  <si>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</si>
  <si>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</si>
  <si>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</si>
  <si>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</si>
  <si>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</si>
  <si>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</si>
  <si>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</si>
  <si>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</si>
  <si>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</si>
  <si>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</si>
  <si>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</si>
  <si>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</si>
  <si>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</si>
  <si>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</si>
  <si>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</si>
  <si>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</si>
  <si>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</si>
  <si>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</si>
  <si>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</si>
  <si>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</si>
  <si>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</si>
  <si>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</si>
  <si>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</si>
  <si>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</si>
  <si>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</si>
  <si>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</si>
  <si>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</si>
  <si>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</si>
  <si>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</si>
  <si>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</si>
  <si>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</si>
  <si>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</si>
  <si>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</si>
  <si>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</si>
  <si>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</si>
  <si>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</si>
  <si>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</si>
  <si>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</si>
  <si>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</si>
  <si>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</si>
  <si>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</si>
  <si>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</si>
  <si>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</si>
  <si>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</si>
  <si>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</si>
  <si>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</si>
  <si>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</si>
  <si>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</si>
  <si>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</si>
  <si>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</si>
  <si>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</si>
  <si>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</si>
  <si>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</si>
  <si>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</si>
  <si>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</si>
  <si>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</si>
  <si>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</si>
  <si>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</si>
  <si>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</si>
  <si>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</si>
  <si>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</si>
  <si>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</si>
  <si>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</si>
  <si>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</si>
  <si>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</si>
  <si>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</si>
  <si>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</si>
  <si>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</si>
  <si>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</si>
  <si>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</si>
  <si>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</si>
  <si>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</si>
  <si>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</si>
  <si>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</si>
  <si>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</si>
  <si>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</si>
  <si>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</si>
  <si>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</si>
  <si>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</si>
  <si>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</si>
  <si>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</si>
  <si>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</si>
  <si>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</si>
  <si>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</si>
  <si>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</si>
  <si>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</si>
  <si>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</si>
  <si>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</si>
  <si>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</si>
  <si>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</si>
  <si>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</si>
  <si>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</si>
  <si>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</si>
  <si>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</si>
  <si>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</si>
  <si>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</si>
  <si>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</si>
  <si>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</si>
  <si>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</si>
  <si>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</si>
  <si>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</si>
  <si>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</si>
  <si>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</si>
  <si>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</si>
  <si>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</si>
  <si>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</si>
  <si>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</si>
  <si>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</si>
  <si>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</si>
  <si>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</si>
  <si>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</si>
  <si>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</si>
  <si>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</si>
  <si>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</si>
  <si>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</si>
  <si>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</si>
  <si>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</si>
  <si>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</si>
  <si>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</si>
  <si>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</si>
  <si>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</si>
  <si>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</si>
  <si>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</si>
  <si>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</si>
  <si>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</si>
  <si>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</si>
  <si>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</si>
  <si>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</si>
  <si>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</si>
  <si>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</si>
  <si>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</si>
  <si>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</si>
  <si>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</si>
  <si>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</si>
  <si>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</si>
  <si>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</si>
  <si>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</si>
  <si>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</si>
  <si>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</si>
  <si>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</si>
  <si>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</si>
  <si>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</si>
  <si>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</si>
  <si>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</si>
  <si>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</si>
  <si>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</si>
  <si>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</si>
  <si>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</si>
  <si>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</si>
  <si>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</si>
  <si>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</si>
  <si>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</si>
  <si>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</si>
  <si>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</si>
  <si>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</si>
  <si>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</si>
  <si>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</si>
  <si>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</si>
  <si>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</si>
  <si>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</si>
  <si>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</si>
  <si>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</si>
  <si>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</si>
  <si>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</si>
  <si>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</si>
  <si>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</si>
  <si>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</si>
  <si>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</si>
  <si>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</si>
  <si>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</si>
  <si>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</si>
  <si>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</si>
  <si>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</si>
  <si>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</si>
  <si>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</si>
  <si>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</si>
  <si>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</si>
  <si>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</si>
  <si>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</si>
  <si>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</si>
  <si>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</si>
  <si>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</si>
  <si>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</si>
  <si>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</si>
  <si>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</si>
  <si>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</si>
  <si>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</si>
  <si>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</si>
  <si>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</si>
  <si>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</si>
  <si>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</si>
  <si>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</si>
  <si>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</si>
  <si>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</si>
  <si>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</si>
  <si>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</si>
  <si>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</si>
  <si>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</si>
  <si>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</si>
  <si>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</si>
  <si>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</si>
  <si>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</si>
  <si>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</si>
  <si>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</si>
  <si>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</si>
  <si>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</si>
  <si>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</si>
  <si>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</si>
  <si>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</si>
  <si>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</si>
  <si>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</si>
  <si>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</si>
  <si>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</si>
  <si>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</si>
  <si>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</si>
  <si>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</si>
  <si>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</si>
  <si>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</si>
  <si>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</si>
  <si>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</si>
  <si>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</si>
  <si>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</si>
  <si>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</si>
  <si>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</si>
  <si>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</si>
  <si>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</si>
  <si>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</si>
  <si>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</si>
  <si>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</si>
  <si>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</si>
  <si>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</si>
  <si>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</si>
  <si>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</si>
  <si>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</si>
  <si>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</si>
  <si>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</si>
  <si>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</si>
  <si>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</si>
  <si>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</si>
  <si>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</si>
  <si>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</si>
  <si>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</si>
  <si>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</si>
  <si>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</si>
  <si>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</si>
  <si>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</si>
  <si>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</si>
  <si>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</si>
  <si>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</si>
  <si>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</si>
  <si>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</si>
  <si>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</si>
  <si>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</si>
  <si>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</si>
  <si>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</si>
  <si>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</si>
  <si>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</si>
  <si>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</si>
  <si>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</si>
  <si>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</si>
  <si>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</si>
  <si>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</si>
  <si>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</si>
  <si>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</si>
  <si>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</si>
  <si>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</si>
  <si>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</si>
  <si>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</si>
  <si>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</si>
  <si>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</si>
  <si>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</si>
  <si>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</si>
  <si>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</si>
  <si>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</si>
  <si>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</si>
  <si>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</si>
  <si>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</si>
  <si>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</si>
  <si>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</si>
  <si>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</si>
  <si>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</si>
  <si>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</si>
  <si>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</si>
  <si>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</si>
  <si>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</si>
  <si>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</si>
  <si>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</si>
  <si>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</si>
  <si>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</si>
  <si>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</si>
  <si>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</si>
  <si>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</si>
  <si>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</si>
  <si>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</si>
  <si>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</si>
  <si>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</si>
  <si>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</si>
  <si>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</si>
  <si>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</si>
  <si>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</si>
  <si>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</si>
  <si>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</si>
  <si>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</si>
  <si>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</si>
  <si>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</si>
  <si>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</si>
  <si>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</si>
  <si>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</si>
  <si>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</si>
  <si>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</si>
  <si>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</si>
  <si>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</si>
  <si>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</si>
  <si>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</si>
  <si>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</si>
  <si>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</si>
  <si>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</si>
  <si>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</si>
  <si>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</si>
  <si>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</si>
  <si>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</si>
  <si>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</si>
  <si>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</si>
  <si>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</si>
  <si>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</si>
  <si>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</si>
  <si>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</si>
  <si>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</si>
  <si>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</si>
  <si>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</si>
  <si>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</si>
  <si>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</si>
  <si>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</si>
  <si>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</si>
  <si>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</si>
  <si>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</si>
  <si>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</si>
  <si>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</si>
  <si>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</si>
  <si>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</si>
  <si>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</si>
  <si>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</si>
  <si>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</si>
  <si>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</si>
  <si>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</si>
  <si>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</si>
  <si>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</si>
  <si>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</si>
  <si>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</si>
  <si>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</si>
  <si>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</si>
  <si>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</si>
  <si>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</si>
  <si>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</si>
  <si>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</si>
  <si>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</si>
  <si>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</si>
  <si>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</si>
  <si>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</si>
  <si>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</si>
  <si>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</si>
  <si>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</si>
  <si>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</si>
  <si>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</si>
  <si>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</si>
  <si>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</si>
  <si>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</si>
  <si>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</si>
  <si>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</si>
  <si>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</si>
  <si>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</si>
  <si>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</si>
  <si>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</si>
  <si>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</si>
  <si>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</si>
  <si>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</si>
  <si>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</si>
  <si>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</si>
  <si>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</si>
  <si>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</si>
  <si>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</si>
  <si>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</si>
  <si>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</si>
  <si>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</si>
  <si>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</si>
  <si>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</si>
  <si>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</si>
  <si>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</si>
  <si>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</si>
  <si>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</si>
  <si>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</si>
  <si>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</si>
  <si>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</si>
  <si>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</si>
  <si>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</si>
  <si>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</si>
  <si>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</si>
  <si>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</si>
  <si>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</si>
  <si>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</si>
  <si>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</si>
  <si>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</si>
  <si>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</si>
  <si>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</si>
  <si>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</si>
  <si>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</si>
  <si>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</si>
  <si>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</si>
  <si>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</si>
  <si>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</si>
  <si>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</si>
  <si>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</si>
  <si>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</si>
  <si>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</si>
  <si>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</si>
  <si>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</si>
  <si>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</si>
  <si>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</si>
  <si>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</si>
  <si>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</si>
  <si>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</si>
  <si>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</si>
  <si>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</si>
  <si>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</si>
  <si>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</si>
  <si>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</si>
  <si>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</si>
  <si>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</si>
  <si>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</si>
  <si>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</si>
  <si>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</si>
  <si>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</si>
  <si>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</si>
  <si>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</si>
  <si>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</si>
  <si>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</si>
  <si>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</si>
  <si>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</si>
  <si>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</si>
  <si>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</si>
  <si>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</si>
  <si>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</si>
  <si>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</si>
  <si>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</si>
  <si>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</si>
  <si>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</si>
  <si>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</si>
  <si>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</si>
  <si>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</si>
  <si>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</si>
  <si>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</si>
  <si>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</si>
  <si>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</si>
  <si>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</si>
  <si>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</si>
  <si>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</si>
  <si>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</si>
  <si>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</si>
  <si>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</si>
  <si>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</si>
  <si>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</si>
  <si>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</si>
  <si>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</si>
  <si>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</si>
  <si>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</si>
  <si>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</si>
  <si>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</si>
  <si>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</si>
  <si>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</si>
  <si>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</si>
  <si>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</si>
  <si>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</si>
  <si>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</si>
  <si>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</si>
  <si>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</si>
  <si>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</si>
  <si>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</si>
  <si>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</si>
  <si>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</si>
  <si>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</si>
  <si>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</si>
  <si>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</si>
  <si>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</si>
  <si>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</si>
  <si>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</si>
  <si>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</si>
  <si>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</si>
  <si>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</si>
  <si>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</si>
  <si>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</si>
  <si>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</si>
  <si>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</si>
  <si>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</si>
  <si>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</si>
  <si>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</si>
  <si>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</si>
  <si>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</si>
  <si>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</si>
  <si>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</si>
  <si>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</si>
  <si>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</si>
  <si>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</si>
  <si>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</si>
  <si>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</si>
  <si>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</si>
  <si>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</si>
  <si>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</si>
  <si>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</si>
  <si>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</si>
  <si>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</si>
  <si>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</si>
  <si>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</si>
  <si>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</si>
  <si>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</si>
  <si>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</si>
  <si>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</si>
  <si>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</si>
  <si>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</si>
  <si>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</si>
  <si>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</si>
  <si>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</si>
  <si>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</si>
  <si>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</si>
  <si>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</si>
  <si>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</si>
  <si>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</si>
  <si>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</si>
  <si>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</si>
  <si>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</si>
  <si>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</si>
  <si>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</si>
  <si>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</si>
  <si>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</si>
  <si>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</si>
  <si>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</si>
  <si>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</si>
  <si>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</si>
  <si>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</si>
  <si>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</si>
  <si>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</si>
  <si>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</si>
  <si>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</si>
  <si>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</si>
  <si>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</si>
  <si>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</si>
  <si>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</si>
  <si>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</si>
  <si>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</si>
  <si>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</si>
  <si>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</si>
  <si>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</si>
  <si>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</si>
  <si>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</si>
  <si>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</si>
  <si>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</si>
  <si>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</si>
  <si>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</si>
  <si>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</si>
  <si>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</si>
  <si>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</si>
  <si>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</si>
  <si>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</si>
  <si>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</si>
  <si>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</si>
  <si>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</si>
  <si>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</si>
  <si>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</si>
  <si>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</si>
  <si>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</si>
  <si>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</si>
  <si>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</si>
  <si>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</si>
  <si>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</si>
  <si>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</si>
  <si>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</si>
  <si>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</si>
  <si>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</si>
  <si>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</si>
  <si>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</si>
  <si>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</si>
  <si>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</si>
  <si>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</si>
  <si>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</si>
  <si>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</si>
  <si>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</si>
  <si>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</si>
  <si>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</si>
  <si>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</si>
  <si>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</si>
  <si>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</si>
  <si>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</si>
  <si>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</si>
  <si>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</si>
  <si>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</si>
  <si>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</si>
  <si>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</si>
  <si>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</si>
  <si>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</si>
  <si>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</si>
  <si>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</si>
  <si>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</si>
  <si>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</si>
  <si>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</si>
  <si>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</si>
  <si>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</si>
  <si>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</si>
  <si>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</si>
  <si>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</si>
  <si>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</si>
  <si>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</si>
  <si>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</si>
  <si>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</si>
  <si>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</si>
  <si>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</si>
  <si>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</si>
  <si>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</si>
  <si>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</si>
  <si>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</si>
  <si>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</si>
  <si>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</si>
  <si>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</si>
  <si>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</si>
  <si>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</si>
  <si>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</si>
  <si>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</si>
  <si>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</si>
  <si>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</si>
  <si>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</si>
  <si>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</si>
  <si>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</si>
  <si>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</si>
  <si>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</si>
  <si>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</si>
  <si>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</si>
  <si>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</si>
  <si>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</si>
  <si>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</si>
  <si>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</si>
  <si>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</si>
  <si>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</si>
  <si>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</si>
  <si>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</si>
  <si>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</si>
  <si>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</si>
  <si>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</si>
  <si>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</si>
  <si>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</si>
  <si>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</si>
  <si>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</si>
  <si>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</si>
  <si>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</si>
  <si>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</si>
  <si>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</si>
  <si>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</si>
  <si>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</si>
  <si>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</si>
  <si>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</si>
  <si>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</si>
  <si>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</si>
  <si>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</si>
  <si>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</si>
  <si>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</si>
  <si>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</si>
  <si>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</si>
  <si>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</si>
  <si>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</si>
  <si>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</si>
  <si>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</si>
  <si>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</si>
  <si>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</si>
  <si>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</si>
  <si>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</si>
  <si>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</si>
  <si>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</si>
  <si>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</si>
  <si>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</si>
  <si>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</si>
  <si>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</si>
  <si>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</si>
  <si>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</si>
  <si>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</si>
  <si>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</si>
  <si>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</si>
  <si>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</si>
  <si>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</si>
  <si>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</si>
  <si>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</si>
  <si>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</si>
  <si>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</si>
  <si>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</si>
  <si>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</si>
  <si>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</si>
  <si>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</si>
  <si>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</si>
  <si>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</si>
  <si>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</si>
  <si>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</si>
  <si>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</si>
  <si>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</si>
  <si>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</si>
  <si>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</si>
  <si>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</si>
  <si>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</si>
  <si>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</si>
  <si>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</si>
  <si>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</si>
  <si>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</si>
  <si>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</si>
  <si>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</si>
  <si>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</si>
  <si>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</si>
  <si>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</si>
  <si>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</si>
  <si>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</si>
  <si>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</si>
  <si>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</si>
  <si>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</si>
  <si>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</si>
  <si>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</si>
  <si>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</si>
  <si>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</si>
  <si>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</si>
  <si>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</si>
  <si>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</si>
  <si>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</si>
  <si>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</si>
  <si>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</si>
  <si>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</si>
  <si>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</si>
  <si>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</si>
  <si>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</si>
  <si>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</si>
  <si>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</si>
  <si>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</si>
  <si>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</si>
  <si>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</si>
  <si>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</si>
  <si>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</si>
  <si>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</si>
  <si>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</si>
  <si>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</si>
  <si>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</si>
  <si>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</si>
  <si>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</si>
  <si>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</si>
  <si>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</si>
  <si>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</si>
  <si>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</si>
  <si>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</si>
  <si>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</si>
  <si>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</si>
  <si>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</si>
  <si>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</si>
  <si>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</si>
  <si>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</si>
  <si>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</si>
  <si>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</si>
  <si>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</si>
  <si>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</si>
  <si>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</si>
  <si>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</si>
  <si>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</si>
  <si>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</si>
  <si>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</si>
  <si>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</si>
  <si>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</si>
  <si>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</si>
  <si>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</si>
  <si>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</si>
  <si>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</si>
  <si>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</si>
  <si>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</si>
  <si>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</si>
  <si>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</si>
  <si>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</si>
  <si>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</si>
  <si>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</si>
  <si>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</si>
  <si>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</si>
  <si>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</si>
  <si>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</si>
  <si>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</si>
  <si>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</si>
  <si>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</si>
  <si>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</si>
  <si>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</si>
  <si>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</si>
  <si>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</si>
  <si>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</si>
  <si>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</si>
  <si>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</si>
  <si>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</si>
  <si>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</si>
  <si>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</si>
  <si>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</si>
  <si>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</si>
  <si>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</si>
  <si>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</si>
  <si>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</si>
  <si>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</si>
  <si>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</si>
  <si>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</si>
  <si>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</si>
  <si>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</si>
  <si>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</si>
  <si>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</si>
  <si>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</si>
  <si>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</si>
  <si>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</si>
  <si>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</si>
  <si>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</si>
  <si>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</si>
  <si>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</si>
  <si>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</si>
  <si>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</si>
  <si>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</si>
  <si>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</si>
  <si>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</si>
  <si>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</si>
  <si>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</si>
  <si>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</si>
  <si>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</si>
  <si>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</si>
  <si>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</si>
  <si>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</si>
  <si>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</si>
  <si>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</si>
  <si>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</si>
  <si>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</si>
  <si>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</si>
  <si>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</si>
  <si>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</si>
  <si>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</si>
  <si>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</si>
  <si>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</si>
  <si>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</si>
  <si>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</si>
  <si>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</si>
  <si>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</si>
  <si>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</si>
  <si>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</si>
  <si>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</si>
  <si>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</si>
  <si>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</si>
  <si>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</si>
  <si>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</si>
  <si>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</si>
  <si>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</si>
  <si>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</si>
  <si>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</si>
  <si>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</si>
  <si>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</si>
  <si>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</si>
  <si>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</si>
  <si>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</si>
  <si>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</si>
  <si>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</si>
  <si>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</si>
  <si>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</si>
  <si>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</si>
  <si>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</si>
  <si>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</si>
  <si>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</si>
  <si>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</si>
  <si>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</si>
  <si>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</si>
  <si>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</si>
  <si>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</si>
  <si>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</si>
  <si>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</si>
  <si>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</si>
  <si>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</si>
  <si>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</si>
  <si>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</si>
  <si>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</si>
  <si>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</si>
  <si>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</si>
  <si>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</si>
  <si>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</si>
  <si>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</si>
  <si>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</si>
  <si>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</si>
  <si>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</si>
  <si>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</si>
  <si>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</si>
  <si>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</si>
  <si>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</si>
  <si>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</si>
  <si>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</si>
  <si>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</si>
  <si>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</si>
  <si>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</si>
  <si>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</si>
  <si>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</si>
  <si>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</si>
  <si>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</si>
  <si>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</si>
  <si>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</si>
  <si>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</si>
  <si>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</si>
  <si>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</si>
  <si>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</si>
  <si>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</si>
  <si>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</si>
  <si>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</si>
  <si>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</si>
  <si>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</si>
  <si>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</si>
  <si>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</si>
  <si>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</si>
  <si>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</si>
  <si>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</si>
  <si>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</si>
  <si>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</si>
  <si>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</si>
  <si>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</si>
  <si>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</si>
  <si>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</si>
  <si>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</si>
  <si>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</si>
  <si>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</si>
  <si>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</si>
  <si>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</si>
  <si>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</si>
  <si>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</si>
  <si>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</si>
  <si>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</si>
  <si>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</si>
  <si>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</si>
  <si>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</si>
  <si>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</si>
  <si>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</si>
  <si>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</si>
  <si>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</si>
  <si>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</si>
  <si>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</si>
  <si>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</si>
  <si>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</si>
  <si>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</si>
  <si>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</si>
  <si>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</si>
  <si>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</si>
  <si>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</si>
  <si>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</si>
  <si>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</si>
  <si>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</si>
  <si>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</si>
  <si>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</si>
  <si>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</si>
  <si>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</si>
  <si>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</si>
  <si>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</si>
  <si>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</si>
  <si>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</si>
  <si>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</si>
  <si>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</si>
  <si>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</si>
  <si>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</si>
  <si>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</si>
  <si>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</si>
  <si>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</si>
  <si>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</si>
  <si>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</si>
  <si>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</si>
  <si>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</si>
  <si>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</si>
  <si>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</si>
  <si>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</si>
  <si>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</si>
  <si>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</si>
  <si>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</si>
  <si>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</si>
  <si>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</si>
  <si>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</si>
  <si>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</si>
  <si>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</si>
  <si>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</si>
  <si>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</si>
  <si>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</si>
  <si>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</si>
  <si>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</si>
  <si>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</si>
  <si>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</si>
  <si>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</si>
  <si>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</si>
  <si>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</si>
  <si>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</si>
  <si>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</si>
  <si>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</si>
  <si>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</si>
  <si>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</si>
  <si>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</si>
  <si>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</si>
  <si>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</si>
  <si>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</si>
  <si>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</si>
  <si>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</si>
  <si>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</si>
  <si>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</si>
  <si>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</si>
  <si>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</si>
  <si>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</si>
  <si>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</si>
  <si>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</si>
  <si>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</si>
  <si>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</si>
  <si>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</si>
  <si>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</si>
  <si>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</si>
  <si>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</si>
  <si>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</si>
  <si>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</si>
  <si>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</si>
  <si>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</si>
  <si>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</si>
  <si>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</si>
  <si>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</si>
  <si>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</si>
  <si>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</si>
  <si>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</si>
  <si>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</si>
  <si>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</si>
  <si>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</si>
  <si>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</si>
  <si>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</si>
  <si>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</si>
  <si>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</si>
  <si>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</si>
  <si>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</si>
  <si>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</si>
  <si>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</si>
  <si>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</si>
  <si>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</si>
  <si>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</si>
  <si>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</si>
  <si>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</si>
  <si>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</si>
  <si>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</si>
  <si>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</si>
  <si>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</si>
  <si>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</si>
  <si>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</si>
  <si>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</si>
  <si>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</si>
  <si>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</si>
  <si>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</si>
  <si>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</si>
  <si>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</si>
  <si>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</si>
  <si>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</si>
  <si>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</si>
  <si>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</si>
  <si>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</si>
  <si>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</si>
  <si>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</si>
  <si>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</si>
  <si>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</si>
  <si>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</si>
  <si>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</si>
  <si>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</si>
  <si>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</si>
  <si>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</si>
  <si>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</si>
  <si>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</si>
  <si>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</si>
  <si>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</si>
  <si>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</si>
  <si>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</si>
  <si>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</si>
  <si>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</si>
  <si>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</si>
  <si>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</si>
  <si>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</si>
  <si>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</si>
  <si>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</si>
  <si>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</si>
  <si>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</si>
  <si>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</si>
  <si>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</si>
  <si>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</si>
  <si>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</si>
  <si>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</si>
  <si>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</si>
  <si>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</si>
  <si>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</si>
  <si>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</si>
  <si>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</si>
  <si>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</si>
  <si>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</si>
  <si>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</si>
  <si>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</si>
  <si>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</si>
  <si>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</si>
  <si>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</si>
  <si>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</si>
  <si>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</si>
  <si>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</si>
  <si>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</si>
  <si>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</si>
  <si>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</si>
  <si>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</si>
  <si>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</si>
  <si>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</si>
  <si>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</si>
  <si>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</si>
  <si>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</si>
  <si>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</si>
  <si>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</si>
  <si>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</si>
  <si>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</si>
  <si>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</si>
  <si>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</si>
  <si>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</si>
  <si>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</si>
  <si>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</si>
  <si>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</si>
  <si>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</si>
  <si>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</si>
  <si>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</si>
  <si>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</si>
  <si>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</si>
  <si>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</si>
  <si>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</si>
  <si>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</si>
  <si>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</si>
  <si>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</si>
  <si>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</si>
  <si>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</si>
  <si>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</si>
  <si>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</si>
  <si>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</si>
  <si>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</si>
  <si>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</si>
  <si>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</si>
  <si>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</si>
  <si>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</si>
  <si>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</si>
  <si>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</si>
  <si>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</si>
  <si>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</si>
  <si>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</si>
  <si>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</si>
  <si>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</si>
  <si>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</si>
  <si>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</si>
  <si>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</si>
  <si>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</si>
  <si>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</si>
  <si>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</si>
  <si>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</si>
  <si>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</si>
  <si>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</si>
  <si>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</si>
  <si>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</si>
  <si>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</si>
  <si>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</si>
  <si>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</si>
  <si>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</si>
  <si>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</si>
  <si>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</si>
  <si>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</si>
  <si>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</si>
  <si>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</si>
  <si>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</si>
  <si>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</si>
  <si>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</si>
  <si>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</si>
  <si>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</si>
  <si>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</si>
  <si>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</si>
  <si>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</si>
  <si>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</si>
  <si>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</si>
  <si>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</si>
  <si>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</si>
  <si>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</si>
  <si>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</si>
  <si>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</si>
  <si>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</si>
  <si>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</si>
  <si>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</si>
  <si>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</si>
  <si>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</si>
  <si>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</si>
  <si>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</si>
  <si>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</si>
  <si>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</si>
  <si>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</si>
  <si>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</si>
  <si>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</si>
  <si>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</si>
  <si>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</si>
  <si>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</si>
  <si>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</si>
  <si>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</si>
  <si>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</si>
  <si>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</si>
  <si>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</si>
  <si>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</si>
  <si>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</si>
  <si>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</si>
  <si>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</si>
  <si>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</si>
  <si>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</si>
  <si>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</si>
  <si>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</si>
  <si>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</si>
  <si>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</si>
  <si>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</si>
  <si>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</si>
  <si>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</si>
  <si>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</si>
  <si>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</si>
  <si>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</si>
  <si>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</si>
  <si>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</si>
  <si>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</si>
  <si>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</si>
  <si>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</si>
  <si>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</si>
  <si>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</si>
  <si>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</si>
  <si>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</si>
  <si>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</si>
  <si>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</si>
  <si>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</si>
  <si>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</si>
  <si>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</si>
  <si>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</si>
  <si>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</si>
  <si>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</si>
  <si>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</si>
  <si>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</si>
  <si>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</si>
  <si>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</si>
  <si>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</si>
  <si>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</si>
  <si>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</si>
  <si>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</si>
  <si>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</si>
  <si>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</si>
  <si>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</si>
  <si>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</si>
  <si>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</si>
  <si>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</si>
  <si>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</si>
  <si>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</si>
  <si>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</si>
  <si>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</si>
  <si>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</si>
  <si>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</si>
  <si>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</si>
  <si>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</si>
  <si>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</si>
  <si>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</si>
  <si>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</si>
  <si>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</si>
  <si>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</si>
  <si>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</si>
  <si>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</si>
  <si>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</si>
  <si>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</si>
  <si>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</si>
  <si>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</si>
  <si>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</si>
  <si>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</si>
  <si>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</si>
  <si>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</si>
  <si>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</si>
  <si>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</si>
  <si>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</si>
  <si>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</si>
  <si>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</si>
  <si>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</si>
  <si>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</si>
  <si>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</si>
  <si>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</si>
  <si>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</si>
  <si>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</si>
  <si>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</si>
  <si>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</si>
  <si>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</si>
  <si>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</si>
  <si>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</si>
  <si>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</si>
  <si>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</si>
  <si>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</si>
  <si>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</si>
  <si>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</si>
  <si>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</si>
  <si>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</si>
  <si>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</si>
  <si>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</si>
  <si>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</si>
  <si>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</si>
  <si>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</si>
  <si>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</si>
  <si>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</si>
  <si>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</si>
  <si>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</si>
  <si>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</si>
  <si>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</si>
  <si>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</si>
  <si>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</si>
  <si>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</si>
  <si>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</si>
  <si>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</si>
  <si>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</si>
  <si>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</si>
  <si>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</si>
  <si>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</si>
  <si>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</si>
  <si>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</si>
  <si>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</si>
  <si>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</si>
  <si>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</si>
  <si>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</si>
  <si>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</si>
  <si>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</si>
  <si>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</si>
  <si>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</si>
  <si>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</si>
  <si>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</si>
  <si>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</si>
  <si>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</si>
  <si>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</si>
  <si>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</si>
  <si>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</si>
  <si>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</si>
  <si>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</si>
  <si>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</si>
  <si>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</si>
  <si>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</si>
  <si>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</si>
  <si>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</si>
  <si>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</si>
  <si>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</si>
  <si>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</si>
  <si>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</si>
  <si>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</si>
  <si>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</si>
  <si>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</si>
  <si>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</si>
  <si>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</si>
  <si>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</si>
  <si>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</si>
  <si>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</si>
  <si>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</si>
  <si>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</si>
  <si>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</si>
  <si>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</si>
  <si>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</si>
  <si>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</si>
  <si>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</si>
  <si>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</si>
  <si>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</si>
  <si>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</si>
  <si>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</si>
  <si>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</si>
  <si>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</si>
  <si>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</si>
  <si>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</si>
  <si>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</si>
  <si>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</si>
  <si>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</si>
  <si>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</si>
  <si>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</si>
  <si>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</si>
  <si>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</si>
  <si>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</si>
  <si>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</si>
  <si>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</si>
  <si>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</si>
  <si>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</si>
  <si>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</si>
  <si>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</si>
  <si>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</si>
  <si>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</si>
  <si>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</si>
  <si>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</si>
  <si>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</si>
  <si>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</si>
  <si>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</si>
  <si>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</si>
  <si>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</si>
  <si>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</si>
  <si>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</si>
  <si>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</si>
  <si>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</si>
  <si>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</si>
  <si>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</si>
  <si>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</si>
  <si>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</si>
  <si>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</si>
  <si>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</si>
  <si>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</si>
  <si>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</si>
  <si>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</si>
  <si>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</si>
  <si>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</si>
  <si>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</si>
  <si>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</si>
  <si>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</si>
  <si>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</si>
  <si>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</si>
  <si>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</si>
  <si>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</si>
  <si>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</si>
  <si>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</si>
  <si>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</si>
  <si>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</si>
  <si>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</si>
  <si>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</si>
  <si>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</si>
  <si>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</si>
  <si>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</si>
  <si>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</si>
  <si>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</si>
  <si>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</si>
  <si>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</si>
  <si>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</si>
  <si>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</si>
  <si>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</si>
  <si>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</si>
  <si>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</si>
  <si>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</si>
  <si>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</si>
  <si>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</si>
  <si>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</si>
  <si>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</si>
  <si>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</si>
  <si>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</si>
  <si>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</si>
  <si>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</si>
  <si>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</si>
  <si>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</si>
  <si>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</si>
  <si>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</si>
  <si>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</si>
  <si>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</si>
  <si>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</si>
  <si>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</si>
  <si>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</si>
  <si>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</si>
  <si>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</si>
  <si>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</si>
  <si>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</si>
  <si>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</si>
  <si>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</si>
  <si>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</si>
  <si>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</si>
  <si>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</si>
  <si>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</si>
  <si>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</si>
  <si>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</si>
  <si>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</si>
  <si>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</si>
  <si>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</si>
  <si>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</si>
  <si>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</si>
  <si>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</si>
  <si>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</si>
  <si>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</si>
  <si>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</si>
  <si>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</si>
  <si>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</si>
  <si>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</si>
  <si>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</si>
  <si>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</si>
  <si>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</si>
  <si>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</si>
  <si>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</si>
  <si>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</si>
  <si>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</si>
  <si>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</si>
  <si>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</si>
  <si>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</si>
  <si>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</si>
  <si>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</si>
  <si>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</si>
  <si>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</si>
  <si>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</si>
  <si>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</si>
  <si>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</si>
  <si>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</si>
  <si>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</si>
  <si>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</si>
  <si>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</si>
  <si>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</si>
  <si>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</si>
  <si>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</si>
  <si>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</si>
  <si>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</si>
  <si>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</si>
  <si>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</si>
  <si>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</si>
  <si>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</si>
  <si>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</si>
  <si>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</si>
  <si>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</si>
  <si>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</si>
  <si>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</si>
  <si>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</si>
  <si>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</si>
  <si>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</si>
  <si>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</si>
  <si>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</si>
  <si>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</si>
  <si>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</si>
  <si>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</si>
  <si>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</si>
  <si>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</si>
  <si>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</si>
  <si>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</si>
  <si>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</si>
  <si>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</si>
  <si>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</si>
  <si>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</si>
  <si>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</si>
  <si>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</si>
  <si>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</si>
  <si>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</si>
  <si>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</si>
  <si>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</si>
  <si>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</si>
  <si>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</si>
  <si>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</si>
  <si>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</si>
  <si>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</si>
  <si>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</si>
  <si>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</si>
  <si>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</si>
  <si>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</si>
  <si>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</si>
  <si>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</si>
  <si>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</si>
  <si>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</si>
  <si>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</si>
  <si>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</si>
  <si>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</si>
  <si>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</si>
  <si>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</si>
  <si>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</si>
  <si>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</si>
  <si>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</si>
  <si>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</si>
  <si>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</si>
  <si>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</si>
  <si>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</si>
  <si>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</si>
  <si>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</si>
  <si>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</si>
  <si>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</si>
  <si>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</si>
  <si>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</si>
  <si>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</si>
  <si>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</si>
  <si>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</si>
  <si>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</si>
  <si>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</si>
  <si>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</si>
  <si>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</si>
  <si>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</si>
  <si>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</si>
  <si>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</si>
  <si>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</si>
  <si>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</si>
  <si>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</si>
  <si>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</si>
  <si>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</si>
  <si>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</si>
  <si>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</si>
  <si>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</si>
  <si>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</si>
  <si>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</si>
  <si>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</si>
  <si>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</si>
  <si>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</si>
  <si>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</si>
  <si>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</si>
  <si>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</si>
  <si>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</si>
  <si>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</si>
  <si>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</si>
  <si>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</si>
  <si>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</si>
  <si>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</si>
  <si>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</si>
  <si>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</si>
  <si>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</si>
  <si>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</si>
  <si>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</si>
  <si>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</si>
  <si>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</si>
  <si>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</si>
  <si>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</si>
  <si>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</si>
  <si>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</si>
  <si>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</si>
  <si>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</si>
  <si>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</si>
  <si>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</si>
  <si>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</si>
  <si>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</si>
  <si>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</si>
  <si>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</si>
  <si>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</si>
  <si>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</si>
  <si>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</si>
  <si>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</si>
  <si>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</si>
  <si>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</si>
  <si>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</si>
  <si>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</si>
  <si>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</si>
  <si>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</si>
  <si>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</si>
  <si>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</si>
  <si>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</si>
  <si>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</si>
  <si>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</si>
  <si>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</si>
  <si>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</si>
  <si>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</si>
  <si>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</si>
  <si>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</si>
  <si>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</si>
  <si>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</si>
  <si>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</si>
  <si>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</si>
  <si>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</si>
  <si>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</si>
  <si>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</si>
  <si>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</si>
  <si>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</si>
  <si>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</si>
  <si>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</si>
  <si>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</si>
  <si>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</si>
  <si>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</si>
  <si>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</si>
  <si>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</si>
  <si>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</si>
  <si>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</si>
  <si>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</si>
  <si>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</si>
  <si>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</si>
  <si>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</si>
  <si>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</si>
  <si>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</si>
  <si>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</si>
  <si>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</si>
  <si>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</si>
  <si>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</si>
  <si>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</si>
  <si>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</si>
  <si>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</si>
  <si>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</si>
  <si>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</si>
  <si>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</si>
  <si>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</si>
  <si>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</si>
  <si>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</si>
  <si>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</si>
  <si>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</si>
  <si>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</si>
  <si>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</si>
  <si>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</si>
  <si>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</si>
  <si>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</si>
  <si>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</si>
  <si>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</si>
  <si>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</si>
  <si>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</si>
  <si>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</si>
  <si>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</si>
  <si>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</si>
  <si>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</si>
  <si>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</si>
  <si>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</si>
  <si>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</si>
  <si>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</si>
  <si>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</si>
  <si>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</si>
  <si>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</si>
  <si>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</si>
  <si>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</si>
  <si>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</si>
  <si>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</si>
  <si>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</si>
  <si>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</si>
  <si>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</si>
  <si>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</si>
  <si>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</si>
  <si>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</si>
  <si>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</si>
  <si>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</si>
  <si>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</si>
  <si>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</si>
  <si>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</si>
  <si>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</si>
  <si>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</si>
  <si>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</si>
  <si>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</si>
  <si>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</si>
  <si>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</si>
  <si>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</si>
  <si>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</si>
  <si>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</si>
  <si>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</si>
  <si>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</si>
  <si>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</si>
  <si>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</si>
  <si>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</si>
  <si>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</si>
  <si>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</si>
  <si>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</si>
  <si>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</si>
  <si>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</si>
  <si>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</si>
  <si>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</si>
  <si>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</si>
  <si>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</si>
  <si>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</si>
  <si>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</si>
  <si>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</si>
  <si>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</si>
  <si>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</si>
  <si>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</si>
  <si>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</si>
  <si>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</si>
  <si>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</si>
  <si>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</si>
  <si>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</si>
  <si>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</si>
  <si>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</si>
  <si>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</si>
  <si>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</si>
  <si>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</si>
  <si>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</si>
  <si>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</si>
  <si>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</si>
  <si>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</si>
  <si>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</si>
  <si>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</si>
  <si>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</si>
  <si>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</si>
  <si>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</si>
  <si>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</si>
  <si>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</si>
  <si>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</si>
  <si>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</si>
  <si>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</si>
  <si>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</si>
  <si>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</si>
  <si>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</si>
  <si>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</si>
  <si>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</si>
  <si>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</si>
  <si>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</si>
  <si>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</si>
  <si>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</si>
  <si>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</si>
  <si>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</si>
  <si>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</si>
  <si>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</si>
  <si>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</si>
  <si>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</si>
  <si>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</si>
  <si>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</si>
  <si>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</si>
  <si>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</si>
  <si>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</si>
  <si>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</si>
  <si>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</si>
  <si>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</si>
  <si>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</si>
  <si>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</si>
  <si>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</si>
  <si>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</si>
  <si>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</si>
  <si>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</si>
  <si>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</si>
  <si>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</si>
  <si>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</si>
  <si>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</si>
  <si>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</si>
  <si>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</si>
  <si>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</si>
  <si>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</si>
  <si>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</si>
  <si>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</si>
  <si>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</si>
  <si>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</si>
  <si>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</si>
  <si>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</si>
  <si>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</si>
  <si>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</si>
  <si>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</si>
  <si>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</si>
  <si>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</si>
  <si>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</si>
  <si>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</si>
  <si>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</si>
  <si>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</si>
  <si>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</si>
  <si>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</si>
  <si>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</si>
  <si>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</si>
  <si>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</si>
  <si>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</si>
  <si>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</si>
  <si>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</si>
  <si>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</si>
  <si>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</si>
  <si>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</si>
  <si>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</si>
  <si>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</si>
  <si>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</si>
  <si>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</si>
  <si>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</si>
  <si>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</si>
  <si>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</si>
  <si>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</si>
  <si>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</si>
  <si>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</si>
  <si>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</si>
  <si>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</si>
  <si>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</si>
  <si>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</si>
  <si>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</si>
  <si>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</si>
  <si>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</si>
  <si>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</si>
  <si>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</si>
  <si>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</si>
  <si>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</si>
  <si>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</si>
  <si>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</si>
  <si>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</si>
  <si>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</si>
  <si>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</si>
  <si>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</si>
  <si>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</si>
  <si>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</si>
  <si>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</si>
  <si>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</si>
  <si>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</si>
  <si>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</si>
  <si>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</si>
  <si>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</si>
  <si>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</si>
  <si>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</si>
  <si>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</si>
  <si>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</si>
  <si>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</si>
  <si>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</si>
  <si>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</si>
  <si>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</si>
  <si>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</si>
  <si>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</si>
  <si>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</si>
  <si>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</si>
  <si>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</si>
  <si>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</si>
  <si>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</si>
  <si>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</si>
  <si>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</si>
  <si>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</si>
  <si>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</si>
  <si>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</si>
  <si>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</si>
  <si>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</si>
  <si>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</si>
  <si>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</si>
  <si>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</si>
  <si>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</si>
  <si>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</si>
  <si>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</si>
  <si>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</si>
  <si>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</si>
  <si>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</si>
  <si>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</si>
  <si>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</si>
  <si>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</si>
  <si>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</si>
  <si>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</si>
  <si>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</si>
  <si>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</si>
  <si>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</si>
  <si>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</si>
  <si>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</si>
  <si>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</si>
  <si>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</si>
  <si>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</si>
  <si>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</si>
  <si>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</si>
  <si>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</si>
  <si>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</si>
  <si>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</si>
  <si>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</si>
  <si>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</si>
  <si>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</si>
  <si>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</si>
  <si>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</si>
  <si>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</si>
  <si>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</si>
  <si>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</si>
  <si>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</si>
  <si>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</si>
  <si>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</si>
  <si>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</si>
  <si>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</si>
  <si>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</si>
  <si>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</si>
  <si>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</si>
  <si>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</si>
  <si>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</si>
  <si>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</si>
  <si>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</si>
  <si>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</si>
  <si>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</si>
  <si>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</si>
  <si>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</si>
  <si>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</si>
  <si>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</si>
  <si>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</si>
  <si>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</si>
  <si>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</si>
  <si>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</si>
  <si>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</si>
  <si>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</si>
  <si>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</si>
  <si>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</si>
  <si>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</si>
  <si>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</si>
  <si>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</si>
  <si>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</si>
  <si>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</si>
  <si>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</si>
  <si>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</si>
  <si>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</si>
  <si>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</si>
  <si>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</si>
  <si>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</si>
  <si>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</si>
  <si>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</si>
  <si>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</si>
  <si>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</si>
  <si>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</si>
  <si>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</si>
  <si>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</si>
  <si>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</si>
  <si>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</si>
  <si>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</si>
  <si>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</si>
  <si>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</si>
  <si>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</si>
  <si>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</si>
  <si>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</si>
  <si>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</si>
  <si>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</si>
  <si>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</si>
  <si>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</si>
  <si>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</si>
  <si>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</si>
  <si>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</si>
  <si>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</si>
  <si>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</si>
  <si>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</si>
  <si>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</si>
  <si>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</si>
  <si>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</si>
  <si>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</si>
  <si>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</si>
  <si>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</si>
  <si>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</si>
  <si>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</si>
  <si>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</si>
  <si>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</si>
  <si>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</si>
  <si>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</si>
  <si>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</si>
  <si>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</si>
  <si>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</si>
  <si>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</si>
  <si>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</si>
  <si>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</si>
  <si>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</si>
  <si>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</si>
  <si>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</si>
  <si>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</si>
  <si>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</si>
  <si>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</si>
  <si>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</si>
  <si>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</si>
  <si>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</si>
  <si>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</si>
  <si>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</si>
  <si>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</si>
  <si>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</si>
  <si>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</si>
  <si>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</si>
  <si>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</si>
  <si>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</si>
  <si>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</si>
  <si>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</si>
  <si>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</si>
  <si>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</si>
  <si>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</si>
  <si>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</si>
  <si>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</si>
  <si>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</si>
  <si>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</si>
  <si>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</si>
  <si>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</si>
  <si>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</si>
  <si>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</si>
  <si>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</si>
  <si>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</si>
  <si>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</si>
  <si>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</si>
  <si>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</si>
  <si>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</si>
  <si>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</si>
  <si>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</si>
  <si>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</si>
  <si>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</si>
  <si>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</si>
  <si>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</si>
  <si>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</si>
  <si>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</si>
  <si>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</si>
  <si>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</si>
  <si>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</si>
  <si>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</si>
  <si>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</si>
  <si>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</si>
  <si>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</si>
  <si>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</si>
  <si>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</si>
  <si>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</si>
  <si>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</si>
  <si>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</si>
  <si>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</si>
  <si>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</si>
  <si>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</si>
  <si>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</si>
  <si>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</si>
  <si>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</si>
  <si>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</si>
  <si>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</si>
  <si>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</si>
  <si>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</si>
  <si>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</si>
  <si>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</si>
  <si>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</si>
  <si>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</si>
  <si>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</si>
  <si>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</si>
  <si>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</si>
  <si>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</si>
  <si>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</si>
  <si>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</si>
  <si>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</si>
  <si>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</si>
  <si>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</si>
  <si>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</si>
  <si>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</si>
  <si>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</si>
  <si>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</si>
  <si>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</si>
  <si>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</si>
  <si>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</si>
  <si>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</si>
  <si>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</si>
  <si>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</si>
  <si>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</si>
  <si>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</si>
  <si>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</si>
  <si>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</si>
  <si>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</si>
  <si>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</si>
  <si>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</si>
  <si>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</si>
  <si>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</si>
  <si>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</si>
  <si>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</si>
  <si>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</si>
  <si>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</si>
  <si>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</si>
  <si>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</si>
  <si>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</si>
  <si>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</si>
  <si>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</si>
  <si>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</si>
  <si>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</si>
  <si>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</si>
  <si>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</si>
  <si>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</si>
  <si>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</si>
  <si>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</si>
  <si>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</si>
  <si>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</si>
  <si>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</si>
  <si>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</si>
  <si>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</si>
  <si>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</si>
  <si>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</si>
  <si>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</si>
  <si>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</si>
  <si>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</si>
  <si>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</si>
  <si>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</si>
  <si>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</si>
  <si>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</si>
  <si>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</si>
  <si>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</si>
  <si>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</si>
  <si>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</si>
  <si>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</si>
  <si>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</si>
  <si>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</si>
  <si>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</si>
  <si>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</si>
  <si>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</si>
  <si>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</si>
  <si>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</si>
  <si>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</si>
  <si>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</si>
  <si>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</si>
  <si>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</si>
  <si>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</si>
  <si>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</si>
  <si>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</si>
  <si>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</si>
  <si>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</si>
  <si>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</si>
  <si>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</si>
  <si>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</si>
  <si>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</si>
  <si>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</si>
  <si>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</si>
  <si>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</si>
  <si>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</si>
  <si>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</si>
  <si>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</si>
  <si>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</si>
  <si>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</si>
  <si>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</si>
  <si>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</si>
  <si>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</si>
  <si>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</si>
  <si>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</si>
  <si>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</si>
  <si>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</si>
  <si>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</si>
  <si>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</si>
  <si>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</si>
  <si>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</si>
  <si>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</si>
  <si>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</si>
  <si>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</si>
  <si>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</si>
  <si>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</si>
  <si>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</si>
  <si>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</si>
  <si>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</si>
  <si>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</si>
  <si>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</si>
  <si>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</si>
  <si>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</si>
  <si>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</si>
  <si>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</si>
  <si>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</si>
  <si>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</si>
  <si>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</si>
  <si>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</si>
  <si>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</si>
  <si>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</si>
  <si>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</si>
  <si>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</si>
  <si>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</si>
  <si>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</si>
  <si>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</si>
  <si>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</si>
  <si>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</si>
  <si>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</si>
  <si>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</si>
  <si>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</si>
  <si>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</si>
  <si>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</si>
  <si>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</si>
  <si>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</si>
  <si>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</si>
  <si>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</si>
  <si>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</si>
  <si>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</si>
  <si>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</si>
  <si>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</si>
  <si>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</si>
  <si>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</si>
  <si>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</si>
  <si>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</si>
  <si>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</si>
  <si>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</si>
  <si>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</si>
  <si>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</si>
  <si>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</si>
  <si>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</si>
  <si>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</si>
  <si>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</si>
  <si>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</si>
  <si>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</si>
  <si>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</si>
  <si>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</si>
  <si>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</si>
  <si>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</si>
  <si>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</si>
  <si>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</si>
  <si>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</si>
  <si>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</si>
  <si>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</si>
  <si>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</si>
  <si>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</si>
  <si>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</si>
  <si>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</si>
  <si>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</si>
  <si>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</si>
  <si>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</si>
  <si>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</si>
  <si>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</si>
  <si>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</si>
  <si>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</si>
  <si>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</si>
  <si>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</si>
  <si>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</si>
  <si>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</si>
  <si>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</si>
  <si>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</si>
  <si>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</si>
  <si>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</si>
  <si>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</si>
  <si>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</si>
  <si>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</si>
  <si>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</si>
  <si>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</si>
  <si>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</si>
  <si>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</si>
  <si>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</si>
  <si>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</si>
  <si>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</si>
  <si>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</si>
  <si>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</si>
  <si>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</si>
  <si>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</si>
  <si>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</si>
  <si>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</si>
  <si>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</si>
  <si>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</si>
  <si>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</si>
  <si>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</si>
  <si>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</si>
  <si>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</si>
  <si>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</si>
  <si>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</si>
  <si>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</si>
  <si>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</si>
  <si>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</si>
  <si>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</si>
  <si>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</si>
  <si>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</si>
  <si>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</si>
  <si>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</si>
  <si>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</si>
  <si>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</si>
  <si>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</si>
  <si>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</si>
  <si>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</si>
  <si>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</si>
  <si>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</si>
  <si>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</si>
  <si>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</si>
  <si>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</si>
  <si>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</si>
  <si>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</si>
  <si>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</si>
  <si>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</si>
  <si>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</si>
  <si>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</si>
  <si>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</si>
  <si>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</si>
  <si>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</si>
  <si>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</si>
  <si>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</si>
  <si>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</si>
  <si>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</si>
  <si>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</si>
  <si>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</si>
  <si>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</si>
  <si>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</si>
  <si>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</si>
  <si>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</si>
  <si>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</si>
  <si>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</si>
  <si>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</si>
  <si>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</si>
  <si>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</si>
  <si>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</si>
  <si>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</si>
  <si>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</si>
  <si>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</si>
  <si>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</si>
  <si>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</si>
  <si>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</si>
  <si>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</si>
  <si>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</si>
  <si>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</si>
  <si>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</si>
  <si>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</si>
  <si>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</si>
  <si>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</si>
  <si>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</si>
  <si>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</si>
  <si>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</si>
  <si>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</si>
  <si>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</si>
  <si>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</si>
  <si>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</si>
  <si>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</si>
  <si>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</si>
  <si>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</si>
  <si>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</si>
  <si>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</si>
  <si>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</si>
  <si>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</si>
  <si>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</si>
  <si>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</si>
  <si>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</si>
  <si>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</si>
  <si>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</si>
  <si>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</si>
  <si>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</si>
  <si>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</si>
  <si>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</si>
  <si>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</si>
  <si>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</si>
  <si>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</si>
  <si>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</si>
  <si>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</si>
  <si>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</si>
  <si>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</si>
  <si>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</si>
  <si>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</si>
  <si>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</si>
  <si>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</si>
  <si>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</si>
  <si>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</si>
  <si>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</si>
  <si>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</si>
  <si>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</si>
  <si>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</si>
  <si>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</si>
  <si>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</si>
  <si>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</si>
  <si>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</si>
  <si>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</si>
  <si>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</si>
  <si>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</si>
  <si>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</si>
  <si>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</si>
  <si>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</si>
  <si>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</si>
  <si>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</si>
  <si>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</si>
  <si>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</si>
  <si>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</si>
  <si>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</si>
  <si>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</si>
  <si>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</si>
  <si>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</si>
  <si>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</si>
  <si>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</si>
  <si>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</si>
  <si>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</si>
  <si>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</si>
  <si>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</si>
  <si>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</si>
  <si>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</si>
  <si>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</si>
  <si>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</si>
  <si>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</si>
  <si>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</si>
  <si>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</si>
  <si>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</si>
  <si>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</si>
  <si>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</si>
  <si>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</si>
  <si>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</si>
  <si>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</si>
  <si>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</si>
  <si>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</si>
  <si>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</si>
  <si>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</si>
  <si>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</si>
  <si>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</si>
  <si>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</si>
  <si>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</si>
  <si>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</si>
  <si>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</si>
  <si>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</si>
  <si>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</si>
  <si>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</si>
  <si>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</si>
  <si>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</si>
  <si>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</si>
  <si>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</si>
  <si>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</si>
  <si>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</si>
  <si>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</si>
  <si>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</si>
  <si>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</si>
  <si>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</si>
  <si>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</si>
  <si>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</si>
  <si>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</si>
  <si>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</si>
  <si>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</si>
  <si>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</si>
  <si>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</si>
  <si>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</si>
  <si>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</si>
  <si>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</si>
  <si>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</si>
  <si>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</si>
  <si>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</si>
  <si>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</si>
  <si>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</si>
  <si>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</si>
  <si>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</si>
  <si>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</si>
  <si>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</si>
  <si>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</si>
  <si>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</si>
  <si>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</si>
  <si>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</si>
  <si>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</si>
  <si>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</si>
  <si>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</si>
  <si>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</si>
  <si>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</si>
  <si>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</si>
  <si>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</si>
  <si>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</si>
  <si>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</si>
  <si>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</si>
  <si>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</si>
  <si>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</si>
  <si>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</si>
  <si>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</si>
  <si>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</si>
  <si>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</si>
  <si>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</si>
  <si>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</si>
  <si>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</si>
  <si>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</si>
  <si>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</si>
  <si>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</si>
  <si>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</si>
  <si>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</si>
  <si>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</si>
  <si>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</si>
  <si>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</si>
  <si>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</si>
  <si>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</si>
  <si>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</si>
  <si>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</si>
  <si>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</si>
  <si>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</si>
  <si>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</si>
  <si>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</si>
  <si>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</si>
  <si>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</si>
  <si>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</si>
  <si>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</si>
  <si>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</si>
  <si>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</si>
  <si>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</si>
  <si>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</si>
  <si>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</si>
  <si>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</si>
  <si>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</si>
  <si>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</si>
  <si>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</si>
  <si>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</si>
  <si>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</si>
  <si>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</si>
  <si>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</si>
  <si>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</si>
  <si>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</si>
  <si>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</si>
  <si>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</si>
  <si>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</si>
  <si>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</si>
  <si>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</si>
  <si>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</si>
  <si>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</si>
  <si>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</si>
  <si>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</si>
  <si>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</si>
  <si>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</si>
  <si>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</si>
  <si>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</si>
  <si>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</si>
  <si>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</si>
  <si>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</si>
  <si>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</si>
  <si>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</si>
  <si>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</si>
  <si>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</si>
  <si>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</si>
  <si>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</si>
  <si>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</si>
  <si>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</si>
  <si>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</si>
  <si>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</si>
  <si>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</si>
  <si>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</si>
  <si>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</si>
  <si>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</si>
  <si>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</si>
  <si>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</si>
  <si>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</si>
  <si>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</si>
  <si>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</si>
  <si>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</si>
  <si>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</si>
  <si>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</si>
  <si>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</si>
  <si>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</si>
  <si>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</si>
  <si>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</si>
  <si>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</si>
  <si>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</si>
  <si>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</si>
  <si>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</si>
  <si>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</si>
  <si>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</si>
  <si>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</si>
  <si>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</si>
  <si>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</si>
  <si>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</si>
  <si>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</si>
  <si>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</si>
  <si>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</si>
  <si>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</si>
  <si>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</si>
  <si>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</si>
  <si>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</si>
  <si>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</si>
  <si>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</si>
  <si>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</si>
  <si>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</si>
  <si>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</si>
  <si>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</si>
  <si>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</si>
  <si>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</si>
  <si>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</si>
  <si>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</si>
  <si>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</si>
  <si>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</si>
  <si>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</si>
  <si>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</si>
  <si>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</si>
  <si>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</si>
  <si>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</si>
  <si>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</si>
  <si>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</si>
  <si>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</si>
  <si>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</si>
  <si>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</si>
  <si>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</si>
  <si>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</si>
  <si>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</si>
  <si>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</si>
  <si>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</si>
  <si>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</si>
  <si>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</si>
  <si>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</si>
  <si>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</si>
  <si>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</si>
  <si>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</si>
  <si>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</si>
  <si>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</si>
  <si>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</si>
  <si>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</si>
  <si>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</si>
  <si>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</si>
  <si>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</si>
  <si>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</si>
  <si>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</si>
  <si>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</si>
  <si>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</si>
  <si>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</si>
  <si>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</si>
  <si>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</si>
  <si>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</si>
  <si>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</si>
  <si>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</si>
  <si>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</si>
  <si>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</si>
  <si>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</si>
  <si>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</si>
  <si>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</si>
  <si>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</si>
  <si>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</si>
  <si>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</si>
  <si>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</si>
  <si>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</si>
  <si>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</si>
  <si>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</si>
  <si>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</si>
  <si>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</si>
  <si>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</si>
  <si>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</si>
  <si>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</si>
  <si>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</si>
  <si>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</si>
  <si>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</si>
  <si>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</si>
  <si>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</si>
  <si>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</si>
  <si>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</si>
  <si>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</si>
  <si>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</si>
  <si>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</si>
  <si>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</si>
  <si>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</si>
  <si>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</si>
  <si>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</si>
  <si>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</si>
  <si>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</si>
  <si>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</si>
  <si>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</si>
  <si>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</si>
  <si>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</si>
  <si>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</si>
  <si>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</si>
  <si>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</si>
  <si>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</si>
  <si>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</si>
  <si>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</si>
  <si>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</si>
  <si>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</si>
  <si>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</si>
  <si>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</si>
  <si>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</si>
  <si>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</si>
  <si>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</si>
  <si>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</si>
  <si>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</si>
  <si>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</si>
  <si>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</si>
  <si>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</si>
  <si>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</si>
  <si>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</si>
  <si>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</si>
  <si>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</si>
  <si>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</si>
  <si>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</si>
  <si>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</si>
  <si>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</si>
  <si>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</si>
  <si>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</si>
  <si>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</si>
  <si>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</si>
  <si>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</si>
  <si>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</si>
  <si>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</si>
  <si>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</si>
  <si>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</si>
  <si>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</si>
  <si>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</si>
  <si>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</si>
  <si>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</si>
  <si>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</si>
  <si>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</si>
  <si>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</si>
  <si>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</si>
  <si>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</si>
  <si>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</si>
  <si>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</si>
  <si>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</si>
  <si>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</si>
  <si>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</si>
  <si>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</si>
  <si>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</si>
  <si>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</si>
  <si>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</si>
  <si>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</si>
  <si>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</si>
  <si>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</si>
  <si>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</si>
  <si>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</si>
  <si>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</si>
  <si>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</si>
  <si>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</si>
  <si>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</si>
  <si>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</si>
  <si>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</si>
  <si>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</si>
  <si>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</si>
  <si>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</si>
  <si>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</si>
  <si>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</si>
  <si>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</si>
  <si>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</si>
  <si>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</si>
  <si>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</si>
  <si>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</si>
  <si>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</si>
  <si>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</si>
  <si>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</si>
  <si>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</si>
  <si>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</si>
  <si>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</si>
  <si>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</si>
  <si>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</si>
  <si>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</si>
  <si>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</si>
  <si>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</si>
  <si>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</si>
  <si>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</si>
  <si>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</si>
  <si>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</si>
  <si>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</si>
  <si>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</si>
  <si>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</si>
  <si>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</si>
  <si>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</si>
  <si>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</si>
  <si>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</si>
  <si>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</si>
  <si>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</si>
  <si>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</si>
  <si>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</si>
  <si>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</si>
  <si>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</si>
  <si>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</si>
  <si>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</si>
  <si>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</si>
  <si>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</si>
  <si>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</si>
  <si>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</si>
  <si>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</si>
  <si>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</si>
  <si>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</si>
  <si>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</si>
  <si>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</si>
  <si>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</si>
  <si>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</si>
  <si>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</si>
  <si>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</si>
  <si>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</si>
  <si>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</si>
  <si>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</si>
  <si>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</si>
  <si>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</si>
  <si>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</si>
  <si>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</si>
  <si>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</si>
  <si>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</si>
  <si>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</si>
  <si>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</si>
  <si>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</si>
  <si>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</si>
  <si>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</si>
  <si>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</si>
  <si>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</si>
  <si>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</si>
  <si>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</si>
  <si>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</si>
  <si>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</si>
  <si>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</si>
  <si>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</si>
  <si>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</si>
  <si>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</si>
  <si>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</si>
  <si>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</si>
  <si>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</si>
  <si>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</si>
  <si>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</si>
  <si>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</si>
  <si>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</si>
  <si>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</si>
  <si>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</si>
  <si>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</si>
  <si>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</si>
  <si>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</si>
  <si>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</si>
  <si>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</si>
  <si>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</si>
  <si>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</si>
  <si>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</si>
  <si>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</si>
  <si>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</si>
  <si>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</si>
  <si>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</si>
  <si>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</si>
  <si>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</si>
  <si>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</si>
  <si>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</si>
  <si>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</si>
  <si>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</si>
  <si>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</si>
  <si>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</si>
  <si>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</si>
  <si>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</si>
  <si>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</si>
  <si>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</si>
  <si>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</si>
  <si>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</si>
  <si>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</si>
  <si>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</si>
  <si>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</si>
  <si>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</si>
  <si>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</si>
  <si>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</si>
  <si>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</si>
  <si>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</si>
  <si>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</si>
  <si>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</si>
  <si>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</si>
  <si>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</si>
  <si>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</si>
  <si>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</si>
  <si>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</si>
  <si>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</si>
  <si>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</si>
  <si>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</si>
  <si>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</si>
  <si>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</si>
  <si>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</si>
  <si>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</si>
  <si>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</si>
  <si>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</si>
  <si>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</si>
  <si>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</si>
  <si>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</si>
  <si>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</si>
  <si>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</si>
  <si>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</si>
  <si>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</si>
  <si>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</si>
  <si>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</si>
  <si>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</si>
  <si>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</si>
  <si>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</si>
  <si>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</si>
  <si>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</si>
  <si>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</si>
  <si>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</si>
  <si>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</si>
  <si>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</si>
  <si>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</si>
  <si>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</si>
  <si>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</si>
  <si>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</si>
  <si>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</si>
  <si>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</si>
  <si>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</si>
  <si>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</si>
  <si>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</si>
  <si>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</si>
  <si>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</si>
  <si>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</si>
  <si>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</si>
  <si>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</si>
  <si>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</si>
  <si>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</si>
  <si>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</si>
  <si>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</si>
  <si>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</si>
  <si>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</si>
  <si>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</si>
  <si>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</si>
  <si>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</si>
  <si>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</si>
  <si>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</si>
  <si>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</si>
  <si>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</si>
  <si>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</si>
  <si>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</si>
  <si>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</si>
  <si>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</si>
  <si>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</si>
  <si>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</si>
  <si>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</si>
  <si>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</si>
  <si>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</si>
  <si>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</si>
  <si>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</si>
  <si>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</si>
  <si>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</si>
  <si>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</si>
  <si>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</si>
  <si>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</si>
  <si>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</si>
  <si>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</si>
  <si>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</si>
  <si>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</si>
  <si>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</si>
  <si>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</si>
  <si>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</si>
  <si>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</si>
  <si>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</si>
  <si>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</si>
  <si>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</si>
  <si>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</si>
  <si>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</si>
  <si>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</si>
  <si>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</si>
  <si>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</si>
  <si>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</si>
  <si>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</si>
  <si>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</si>
  <si>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</si>
  <si>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</si>
  <si>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</si>
  <si>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</si>
  <si>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</si>
  <si>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</si>
  <si>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</si>
  <si>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</si>
  <si>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</si>
  <si>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</si>
  <si>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</si>
  <si>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</si>
  <si>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</si>
  <si>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</si>
  <si>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</si>
  <si>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</si>
  <si>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</si>
  <si>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</si>
  <si>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</si>
  <si>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</si>
  <si>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</si>
  <si>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</si>
  <si>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</si>
  <si>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</si>
  <si>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</si>
  <si>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</si>
  <si>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</si>
  <si>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</si>
  <si>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</si>
  <si>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</si>
  <si>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</si>
  <si>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</si>
  <si>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</si>
  <si>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</si>
  <si>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</si>
  <si>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</si>
  <si>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</si>
  <si>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</si>
  <si>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</si>
  <si>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</si>
  <si>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</si>
  <si>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</si>
  <si>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</si>
  <si>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</si>
  <si>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</si>
  <si>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</si>
  <si>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</si>
  <si>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</si>
  <si>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</si>
  <si>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</si>
  <si>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</si>
  <si>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</si>
  <si>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</si>
  <si>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</si>
  <si>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</si>
  <si>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</si>
  <si>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</si>
  <si>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</si>
  <si>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</si>
  <si>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</si>
  <si>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</si>
  <si>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</si>
  <si>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</si>
  <si>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</si>
  <si>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</si>
  <si>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</si>
  <si>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</si>
  <si>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</si>
  <si>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</si>
  <si>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</si>
  <si>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</si>
  <si>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</si>
  <si>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</si>
  <si>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</si>
  <si>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</si>
  <si>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</si>
  <si>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</si>
  <si>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</si>
  <si>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</si>
  <si>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</si>
  <si>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</si>
  <si>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</si>
  <si>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</si>
  <si>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</si>
  <si>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</si>
  <si>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</si>
  <si>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</si>
  <si>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</si>
  <si>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</si>
  <si>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</si>
  <si>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</si>
  <si>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</si>
  <si>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</si>
  <si>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</si>
  <si>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</si>
  <si>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</si>
  <si>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</si>
  <si>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</si>
  <si>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</si>
  <si>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</si>
  <si>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</si>
  <si>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</si>
  <si>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</si>
  <si>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</si>
  <si>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</si>
  <si>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</si>
  <si>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</si>
  <si>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</si>
  <si>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</si>
  <si>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</si>
  <si>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</si>
  <si>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</si>
  <si>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</si>
  <si>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</si>
  <si>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</si>
  <si>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</si>
  <si>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</si>
  <si>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</si>
  <si>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</si>
  <si>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</si>
  <si>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</si>
  <si>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</si>
  <si>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</si>
  <si>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</si>
  <si>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</si>
  <si>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</si>
  <si>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</si>
  <si>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</si>
  <si>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</si>
  <si>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</si>
  <si>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</si>
  <si>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</si>
  <si>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</si>
  <si>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</si>
  <si>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</si>
  <si>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</si>
  <si>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</si>
  <si>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</si>
  <si>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</si>
  <si>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</si>
  <si>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</si>
  <si>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</si>
  <si>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</si>
  <si>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</si>
  <si>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</si>
  <si>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</si>
  <si>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</si>
  <si>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</si>
  <si>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</si>
  <si>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</si>
  <si>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</si>
  <si>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</si>
  <si>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</si>
  <si>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</si>
  <si>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</si>
  <si>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</si>
  <si>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</si>
  <si>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</si>
  <si>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</si>
  <si>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</si>
  <si>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</si>
  <si>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</si>
  <si>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</si>
  <si>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</si>
  <si>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</si>
  <si>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</si>
  <si>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</si>
  <si>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</si>
  <si>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</si>
  <si>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</si>
  <si>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</si>
  <si>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</si>
  <si>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</si>
  <si>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</si>
  <si>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</si>
  <si>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</si>
  <si>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</si>
  <si>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</si>
  <si>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</si>
  <si>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</si>
  <si>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</si>
  <si>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</si>
  <si>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</si>
  <si>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</si>
  <si>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</si>
  <si>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</si>
  <si>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</si>
  <si>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</si>
  <si>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</si>
  <si>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</si>
  <si>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</si>
  <si>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</si>
  <si>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</si>
  <si>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</si>
  <si>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</si>
  <si>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</si>
  <si>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</si>
  <si>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</si>
  <si>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</si>
  <si>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</si>
  <si>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</si>
  <si>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</si>
  <si>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</si>
  <si>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</si>
  <si>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</si>
  <si>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</si>
  <si>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</si>
  <si>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</si>
  <si>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</si>
  <si>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</si>
  <si>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</si>
  <si>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</si>
  <si>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</si>
  <si>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</si>
  <si>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</si>
  <si>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</si>
  <si>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</si>
  <si>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</si>
  <si>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</si>
  <si>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</si>
  <si>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</si>
  <si>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</si>
  <si>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</si>
  <si>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</si>
  <si>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</si>
  <si>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</si>
  <si>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</si>
  <si>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</si>
  <si>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</si>
  <si>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</si>
  <si>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</si>
  <si>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</si>
  <si>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</si>
  <si>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</si>
  <si>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</si>
  <si>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</si>
  <si>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</si>
  <si>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</si>
  <si>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</si>
  <si>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</si>
  <si>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</si>
  <si>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</si>
  <si>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</si>
  <si>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</si>
  <si>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</si>
  <si>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</si>
  <si>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</si>
  <si>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</si>
  <si>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</si>
  <si>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</si>
  <si>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</si>
  <si>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</si>
  <si>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</si>
  <si>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</si>
  <si>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</si>
  <si>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</si>
  <si>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</si>
  <si>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</si>
  <si>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</si>
  <si>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</si>
  <si>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</si>
  <si>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</si>
  <si>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</si>
  <si>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</si>
  <si>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</si>
  <si>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</si>
  <si>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</si>
  <si>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</si>
  <si>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</si>
  <si>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</si>
  <si>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</si>
  <si>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</si>
  <si>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</si>
  <si>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</si>
  <si>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</si>
  <si>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</si>
  <si>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</si>
  <si>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</si>
  <si>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</si>
  <si>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</si>
  <si>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</si>
  <si>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</si>
  <si>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</si>
  <si>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</si>
  <si>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</si>
  <si>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</si>
  <si>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</si>
  <si>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</si>
  <si>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</si>
  <si>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</si>
  <si>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</si>
  <si>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</si>
  <si>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</si>
  <si>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</si>
  <si>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</si>
  <si>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</si>
  <si>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</si>
  <si>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</si>
  <si>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</si>
  <si>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</si>
  <si>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</si>
  <si>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</si>
  <si>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</si>
  <si>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</si>
  <si>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</si>
  <si>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</si>
  <si>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</si>
  <si>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</si>
  <si>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</si>
  <si>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</si>
  <si>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</si>
  <si>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</si>
  <si>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</si>
  <si>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</si>
  <si>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</si>
  <si>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</si>
  <si>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</si>
  <si>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</si>
  <si>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</si>
  <si>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</si>
  <si>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</si>
  <si>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</si>
  <si>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</si>
  <si>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</si>
  <si>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</si>
  <si>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</si>
  <si>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</si>
  <si>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</si>
  <si>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</si>
  <si>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</si>
  <si>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</si>
  <si>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</si>
  <si>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</si>
  <si>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</si>
  <si>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</si>
  <si>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</si>
  <si>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</si>
  <si>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</si>
  <si>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</si>
  <si>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</si>
  <si>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</si>
  <si>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</si>
  <si>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</si>
  <si>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</si>
  <si>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</si>
  <si>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</si>
  <si>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</si>
  <si>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</si>
  <si>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</si>
  <si>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</si>
  <si>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</si>
  <si>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</si>
  <si>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</si>
  <si>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</si>
  <si>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</si>
  <si>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</si>
  <si>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</si>
  <si>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</si>
  <si>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</si>
  <si>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</si>
  <si>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</si>
  <si>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</si>
  <si>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</si>
  <si>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</si>
  <si>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</si>
  <si>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</si>
  <si>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</si>
  <si>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</si>
  <si>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</si>
  <si>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</si>
  <si>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</si>
  <si>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</si>
  <si>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</si>
  <si>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</si>
  <si>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</si>
  <si>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</si>
  <si>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</si>
  <si>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</si>
  <si>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</si>
  <si>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</si>
  <si>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</si>
  <si>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</si>
  <si>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</si>
  <si>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</si>
  <si>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</si>
  <si>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</si>
  <si>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</si>
  <si>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</si>
  <si>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</si>
  <si>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</si>
  <si>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</si>
  <si>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</si>
  <si>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</si>
  <si>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</si>
  <si>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</si>
  <si>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</si>
  <si>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</si>
  <si>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</si>
  <si>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</si>
  <si>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</si>
  <si>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</si>
  <si>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</si>
  <si>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</si>
  <si>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</si>
  <si>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</si>
  <si>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</si>
  <si>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</si>
  <si>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</si>
  <si>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</si>
  <si>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</si>
  <si>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</si>
  <si>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</si>
  <si>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</si>
  <si>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</si>
  <si>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</si>
  <si>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</si>
  <si>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</si>
  <si>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</si>
  <si>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</si>
  <si>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</si>
  <si>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</si>
  <si>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</si>
  <si>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</si>
  <si>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</si>
  <si>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</si>
  <si>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</si>
  <si>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</si>
  <si>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</si>
  <si>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</si>
  <si>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</si>
  <si>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</si>
  <si>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</si>
  <si>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</si>
  <si>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</si>
  <si>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</si>
  <si>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</si>
  <si>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</si>
  <si>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</si>
  <si>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</si>
  <si>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</si>
  <si>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</si>
  <si>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</si>
  <si>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</si>
  <si>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</si>
  <si>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</si>
  <si>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</si>
  <si>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</si>
  <si>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</si>
  <si>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</si>
  <si>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</si>
  <si>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</si>
  <si>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</si>
  <si>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</si>
  <si>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</si>
  <si>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</si>
  <si>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</si>
  <si>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</si>
  <si>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</si>
  <si>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</si>
  <si>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</si>
  <si>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</si>
  <si>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</si>
  <si>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</si>
  <si>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</si>
  <si>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</si>
  <si>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</si>
  <si>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</si>
  <si>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</si>
  <si>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</si>
  <si>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</si>
  <si>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</si>
  <si>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</si>
  <si>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</si>
  <si>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</si>
  <si>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</si>
  <si>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</si>
  <si>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</si>
  <si>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</si>
  <si>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</si>
  <si>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</si>
  <si>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</si>
  <si>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</si>
  <si>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</si>
  <si>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</si>
  <si>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</si>
  <si>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</si>
  <si>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</si>
  <si>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</si>
  <si>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</si>
  <si>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</si>
  <si>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</si>
  <si>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</si>
  <si>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</si>
  <si>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</si>
  <si>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</si>
  <si>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</si>
  <si>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</si>
  <si>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</si>
  <si>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</si>
  <si>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</si>
  <si>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</si>
  <si>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</si>
  <si>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</si>
  <si>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</si>
  <si>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</si>
  <si>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</si>
  <si>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</si>
  <si>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</si>
  <si>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</si>
  <si>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</si>
  <si>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</si>
  <si>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</si>
  <si>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</si>
  <si>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</si>
  <si>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</si>
  <si>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</si>
  <si>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</si>
  <si>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</si>
  <si>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</si>
  <si>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</si>
  <si>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</si>
  <si>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</si>
  <si>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</si>
  <si>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</si>
  <si>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</si>
  <si>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</si>
  <si>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</si>
  <si>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</si>
  <si>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</si>
  <si>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</si>
  <si>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</si>
  <si>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</si>
  <si>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</si>
  <si>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</si>
  <si>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</si>
  <si>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</si>
  <si>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</si>
  <si>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</si>
  <si>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</si>
  <si>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</si>
  <si>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</si>
  <si>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</si>
  <si>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</si>
  <si>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</si>
  <si>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</si>
  <si>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</si>
  <si>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</si>
  <si>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</si>
  <si>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</si>
  <si>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</si>
  <si>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</si>
  <si>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</si>
  <si>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</si>
  <si>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</si>
  <si>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</si>
  <si>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</si>
  <si>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</si>
  <si>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</si>
  <si>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</si>
  <si>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</si>
  <si>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</si>
  <si>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</si>
  <si>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</si>
  <si>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</si>
  <si>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</si>
  <si>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</si>
  <si>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</si>
  <si>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</si>
  <si>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</si>
  <si>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</si>
  <si>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</si>
  <si>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</si>
  <si>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</si>
  <si>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</si>
  <si>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</si>
  <si>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</si>
  <si>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</si>
  <si>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</si>
  <si>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</si>
  <si>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</si>
  <si>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</si>
  <si>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</si>
  <si>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</si>
  <si>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</si>
  <si>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</si>
  <si>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</si>
  <si>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</si>
  <si>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</si>
  <si>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</si>
  <si>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</si>
  <si>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</si>
  <si>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</si>
  <si>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</si>
  <si>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</si>
  <si>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</si>
  <si>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</si>
  <si>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</si>
  <si>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</si>
  <si>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</si>
  <si>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</si>
  <si>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</si>
  <si>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</si>
  <si>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</si>
  <si>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</si>
  <si>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</si>
  <si>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</si>
  <si>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</si>
  <si>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</si>
  <si>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</si>
  <si>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</si>
  <si>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</si>
  <si>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</si>
  <si>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</si>
  <si>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</si>
  <si>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</si>
  <si>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</si>
  <si>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</si>
  <si>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</si>
  <si>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</si>
  <si>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</si>
  <si>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</si>
  <si>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</si>
  <si>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</si>
  <si>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</si>
  <si>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</si>
  <si>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</si>
  <si>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</si>
  <si>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</si>
  <si>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</si>
  <si>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</si>
  <si>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</si>
  <si>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</si>
  <si>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</si>
  <si>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</si>
  <si>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</si>
  <si>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</si>
  <si>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</si>
  <si>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</si>
  <si>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</si>
  <si>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</si>
  <si>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</si>
  <si>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</si>
  <si>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</si>
  <si>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</si>
  <si>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</si>
  <si>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</si>
  <si>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</si>
  <si>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</si>
  <si>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</si>
  <si>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</si>
  <si>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</si>
  <si>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</si>
  <si>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</si>
  <si>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</si>
  <si>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</si>
  <si>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</si>
  <si>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</si>
  <si>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</si>
  <si>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</si>
  <si>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</si>
  <si>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</si>
  <si>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</si>
  <si>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</si>
  <si>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</si>
  <si>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</si>
  <si>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</si>
  <si>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</si>
  <si>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</si>
  <si>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</si>
  <si>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</si>
  <si>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</si>
  <si>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</si>
  <si>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</si>
  <si>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</si>
  <si>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</si>
  <si>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</si>
  <si>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</si>
  <si>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</si>
  <si>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</si>
  <si>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</si>
  <si>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</si>
  <si>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</si>
  <si>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</si>
  <si>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</si>
  <si>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</si>
  <si>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</si>
  <si>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</si>
  <si>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</si>
  <si>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</si>
  <si>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</si>
  <si>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</si>
  <si>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</si>
  <si>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</si>
  <si>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</si>
  <si>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</si>
  <si>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</si>
  <si>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</si>
  <si>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</si>
  <si>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</si>
  <si>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</si>
  <si>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</si>
  <si>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</si>
  <si>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</si>
  <si>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</si>
  <si>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</si>
  <si>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</si>
  <si>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</si>
  <si>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</si>
  <si>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</si>
  <si>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</si>
  <si>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</si>
  <si>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</si>
  <si>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</si>
  <si>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</si>
  <si>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</si>
  <si>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</si>
  <si>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</si>
  <si>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</si>
  <si>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</si>
  <si>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</si>
  <si>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</si>
  <si>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</si>
  <si>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</si>
  <si>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</si>
  <si>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</si>
  <si>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</si>
  <si>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</si>
  <si>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</si>
  <si>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</si>
  <si>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</si>
  <si>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</si>
  <si>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</si>
  <si>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</si>
  <si>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</si>
  <si>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</si>
  <si>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</si>
  <si>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</si>
  <si>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</si>
  <si>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</si>
  <si>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</si>
  <si>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</si>
  <si>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</si>
  <si>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</si>
  <si>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</si>
  <si>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</si>
  <si>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</si>
  <si>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</si>
  <si>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</si>
  <si>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</si>
  <si>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</si>
  <si>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</si>
  <si>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</si>
  <si>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</si>
  <si>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</si>
  <si>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</si>
  <si>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</si>
  <si>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</si>
  <si>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</si>
  <si>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</si>
  <si>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</si>
  <si>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</si>
  <si>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</si>
  <si>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</si>
  <si>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</si>
  <si>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</si>
  <si>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</si>
  <si>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</si>
  <si>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</si>
  <si>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</si>
  <si>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</si>
  <si>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</si>
  <si>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</si>
  <si>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</si>
  <si>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</si>
  <si>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</si>
  <si>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</si>
  <si>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</si>
  <si>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</si>
  <si>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</si>
  <si>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</si>
  <si>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</si>
  <si>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</si>
  <si>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</si>
  <si>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</si>
  <si>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</si>
  <si>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</si>
  <si>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</si>
  <si>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</si>
  <si>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</si>
  <si>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</si>
  <si>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</si>
  <si>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</si>
  <si>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</si>
  <si>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</si>
  <si>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</si>
  <si>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</si>
  <si>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</si>
  <si>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</si>
  <si>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</si>
  <si>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</si>
  <si>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</si>
  <si>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</si>
  <si>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</si>
  <si>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</si>
  <si>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</si>
  <si>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</si>
  <si>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</si>
  <si>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</si>
  <si>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</si>
  <si>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</si>
  <si>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</si>
  <si>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</si>
  <si>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</si>
  <si>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</si>
  <si>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</si>
  <si>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</si>
  <si>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</si>
  <si>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</si>
  <si>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</si>
  <si>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</si>
  <si>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</si>
  <si>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</si>
  <si>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</si>
  <si>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</si>
  <si>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</si>
  <si>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</si>
  <si>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</si>
  <si>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</si>
  <si>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</si>
  <si>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</si>
  <si>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</si>
  <si>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</si>
  <si>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</si>
  <si>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</si>
  <si>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</si>
  <si>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</si>
  <si>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</si>
  <si>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</si>
  <si>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</si>
  <si>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</si>
  <si>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</si>
  <si>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</si>
  <si>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</si>
  <si>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</si>
  <si>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</si>
  <si>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</si>
  <si>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</si>
  <si>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</si>
  <si>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</si>
  <si>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</si>
  <si>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</si>
  <si>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</si>
  <si>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</si>
  <si>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</si>
  <si>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</si>
  <si>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</si>
  <si>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</si>
  <si>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</si>
  <si>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</si>
  <si>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</si>
  <si>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</si>
  <si>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</si>
  <si>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</si>
  <si>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</si>
  <si>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</si>
  <si>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</si>
  <si>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</si>
  <si>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</si>
  <si>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</si>
  <si>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</si>
  <si>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</si>
  <si>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</si>
  <si>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</si>
  <si>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</si>
  <si>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</si>
  <si>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</si>
  <si>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</si>
  <si>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</si>
  <si>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</si>
  <si>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</si>
  <si>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</si>
  <si>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</si>
  <si>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</si>
  <si>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</si>
  <si>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</si>
  <si>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</si>
  <si>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</si>
  <si>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</si>
  <si>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</si>
  <si>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</si>
  <si>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</si>
  <si>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</si>
  <si>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</si>
  <si>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</si>
  <si>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</si>
  <si>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</si>
  <si>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</si>
  <si>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</si>
  <si>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</si>
  <si>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</si>
  <si>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</si>
  <si>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</si>
  <si>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</si>
  <si>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</si>
  <si>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</si>
  <si>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</si>
  <si>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</si>
  <si>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</si>
  <si>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</si>
  <si>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</si>
  <si>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</si>
  <si>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</si>
  <si>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</si>
  <si>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</si>
  <si>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</si>
  <si>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</si>
  <si>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</si>
  <si>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</si>
  <si>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</si>
  <si>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</si>
  <si>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</si>
  <si>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</si>
  <si>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</si>
  <si>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</si>
  <si>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</si>
  <si>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</si>
  <si>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</si>
  <si>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</si>
  <si>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</si>
  <si>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</si>
  <si>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</si>
  <si>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</si>
  <si>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</si>
  <si>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</si>
  <si>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</si>
  <si>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</si>
  <si>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</si>
  <si>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</si>
  <si>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</si>
  <si>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</si>
  <si>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</si>
  <si>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</si>
  <si>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</si>
  <si>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</si>
  <si>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</si>
  <si>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</si>
  <si>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</si>
  <si>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</si>
  <si>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</si>
  <si>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</si>
  <si>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</si>
  <si>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</si>
  <si>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</si>
  <si>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</si>
  <si>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</si>
  <si>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</si>
  <si>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</si>
  <si>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</si>
  <si>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</si>
  <si>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</si>
  <si>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</si>
  <si>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</si>
  <si>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</si>
  <si>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</si>
  <si>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</si>
  <si>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</si>
  <si>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</si>
  <si>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</si>
  <si>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</si>
  <si>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</si>
  <si>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</si>
  <si>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</si>
  <si>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</si>
  <si>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</si>
  <si>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</si>
  <si>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</si>
  <si>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</si>
  <si>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</si>
  <si>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</si>
  <si>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</si>
  <si>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</si>
  <si>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</si>
  <si>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</si>
  <si>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</si>
  <si>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</si>
  <si>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</si>
  <si>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</si>
  <si>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</si>
  <si>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</si>
  <si>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</si>
  <si>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</si>
  <si>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</si>
  <si>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</si>
  <si>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</si>
  <si>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</si>
  <si>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</si>
  <si>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</si>
  <si>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</si>
  <si>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</si>
  <si>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</si>
  <si>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</si>
  <si>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</si>
  <si>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</si>
  <si>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</si>
  <si>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</si>
  <si>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</si>
  <si>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</si>
  <si>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</si>
  <si>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</si>
  <si>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</si>
  <si>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</si>
  <si>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</si>
  <si>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</si>
  <si>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</si>
  <si>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</si>
  <si>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</si>
  <si>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</si>
  <si>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</si>
  <si>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</si>
  <si>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</si>
  <si>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</si>
  <si>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</si>
  <si>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</si>
  <si>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</si>
  <si>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</si>
  <si>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</si>
  <si>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</si>
  <si>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</si>
  <si>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</si>
  <si>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</si>
  <si>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</si>
  <si>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</si>
  <si>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</si>
  <si>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</si>
  <si>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</si>
  <si>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</si>
  <si>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</si>
  <si>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</si>
  <si>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</si>
  <si>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</si>
  <si>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</si>
  <si>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</si>
  <si>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</si>
  <si>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</si>
  <si>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</si>
  <si>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</si>
  <si>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</si>
  <si>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</si>
  <si>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</si>
  <si>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</si>
  <si>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</si>
  <si>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</si>
  <si>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</si>
  <si>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</si>
  <si>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</si>
  <si>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</si>
  <si>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</si>
  <si>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</si>
  <si>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</si>
  <si>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</si>
  <si>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</si>
  <si>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</si>
  <si>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</si>
  <si>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</si>
  <si>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</si>
  <si>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</si>
  <si>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</si>
  <si>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</si>
  <si>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</si>
  <si>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</si>
  <si>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</si>
  <si>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</si>
  <si>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</si>
  <si>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</si>
  <si>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</si>
  <si>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</si>
  <si>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</si>
  <si>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</si>
  <si>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</si>
  <si>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</si>
  <si>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</si>
  <si>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</si>
  <si>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</si>
  <si>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</si>
  <si>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</si>
  <si>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</si>
  <si>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</si>
  <si>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</si>
  <si>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</si>
  <si>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</si>
  <si>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</si>
  <si>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</si>
  <si>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</si>
  <si>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</si>
  <si>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</si>
  <si>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</si>
  <si>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</si>
  <si>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</si>
  <si>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</si>
  <si>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</si>
  <si>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</si>
  <si>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</si>
  <si>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</si>
  <si>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</si>
  <si>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</si>
  <si>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</si>
  <si>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</si>
  <si>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</si>
  <si>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</si>
  <si>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</si>
  <si>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</si>
  <si>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</si>
  <si>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</si>
  <si>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</si>
  <si>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</si>
  <si>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</si>
  <si>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</si>
  <si>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</si>
  <si>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</si>
  <si>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</si>
  <si>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</si>
  <si>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</si>
  <si>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</si>
  <si>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</si>
  <si>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</si>
  <si>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</si>
  <si>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</si>
  <si>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</si>
  <si>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</si>
  <si>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</si>
  <si>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</si>
  <si>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</si>
  <si>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</si>
  <si>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</si>
  <si>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</si>
  <si>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</si>
  <si>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</si>
  <si>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</si>
  <si>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</si>
  <si>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</si>
  <si>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</si>
  <si>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</si>
  <si>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</si>
  <si>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</si>
  <si>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</si>
  <si>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</si>
  <si>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</si>
  <si>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</si>
  <si>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</si>
  <si>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</si>
  <si>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</si>
  <si>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</si>
  <si>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</si>
  <si>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</si>
  <si>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</si>
  <si>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</si>
  <si>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</si>
  <si>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</si>
  <si>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</si>
  <si>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</si>
  <si>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</si>
  <si>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</si>
  <si>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</si>
  <si>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</si>
  <si>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</si>
  <si>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</si>
  <si>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</si>
  <si>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</si>
  <si>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</si>
  <si>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</si>
  <si>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</si>
  <si>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</si>
  <si>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</si>
  <si>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</si>
  <si>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</si>
  <si>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</si>
  <si>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</si>
  <si>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</si>
  <si>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</si>
  <si>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</si>
  <si>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</si>
  <si>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</si>
  <si>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</si>
  <si>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</si>
  <si>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</si>
  <si>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</si>
  <si>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</si>
  <si>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</si>
  <si>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</si>
  <si>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</si>
  <si>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</si>
  <si>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</si>
  <si>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</si>
  <si>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</si>
  <si>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</si>
  <si>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</si>
  <si>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</si>
  <si>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</si>
  <si>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</si>
  <si>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</si>
  <si>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</si>
  <si>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</si>
  <si>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</si>
  <si>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</si>
  <si>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</si>
  <si>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</si>
  <si>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</si>
  <si>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</si>
  <si>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</si>
  <si>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</si>
  <si>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</si>
  <si>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</si>
  <si>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</si>
  <si>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</si>
  <si>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</si>
  <si>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</si>
  <si>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</si>
  <si>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</si>
  <si>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</si>
  <si>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</si>
  <si>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</si>
  <si>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</si>
  <si>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</si>
  <si>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</si>
  <si>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</si>
  <si>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</si>
  <si>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</si>
  <si>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</si>
  <si>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</si>
  <si>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</si>
  <si>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</si>
  <si>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</si>
  <si>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</si>
  <si>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</si>
  <si>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</si>
  <si>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</si>
  <si>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</si>
  <si>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</si>
  <si>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</si>
  <si>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</si>
  <si>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</si>
  <si>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</si>
  <si>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</si>
  <si>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</si>
  <si>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</si>
  <si>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</si>
  <si>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</si>
  <si>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</si>
  <si>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</si>
  <si>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</si>
  <si>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</si>
  <si>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</si>
  <si>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</si>
  <si>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</si>
  <si>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</si>
  <si>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</si>
  <si>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</si>
  <si>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</si>
  <si>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</si>
  <si>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</si>
  <si>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</si>
  <si>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</si>
  <si>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</si>
  <si>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</si>
  <si>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</si>
  <si>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</si>
  <si>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</si>
  <si>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</si>
  <si>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</si>
  <si>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</si>
  <si>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</si>
  <si>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</si>
  <si>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</si>
  <si>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</si>
  <si>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</si>
  <si>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</si>
  <si>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</si>
  <si>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</si>
  <si>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</si>
  <si>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</si>
  <si>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</si>
  <si>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</si>
  <si>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</si>
  <si>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</si>
  <si>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</si>
  <si>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</si>
  <si>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</si>
  <si>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</si>
  <si>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</si>
  <si>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</si>
  <si>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</si>
  <si>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</si>
  <si>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</si>
  <si>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</si>
  <si>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</si>
  <si>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</si>
  <si>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</si>
  <si>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</si>
  <si>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</si>
  <si>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</si>
  <si>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</si>
  <si>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</si>
  <si>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</si>
  <si>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</si>
  <si>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</si>
  <si>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</si>
  <si>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</si>
  <si>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</si>
  <si>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</si>
  <si>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</si>
  <si>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</si>
  <si>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</si>
  <si>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</si>
  <si>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</si>
  <si>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</si>
  <si>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</si>
  <si>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</si>
  <si>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</si>
  <si>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</si>
  <si>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</si>
  <si>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</si>
  <si>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</si>
  <si>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</si>
  <si>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</si>
  <si>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</si>
  <si>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</si>
  <si>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</si>
  <si>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</si>
  <si>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</si>
  <si>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</si>
  <si>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</si>
  <si>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</si>
  <si>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</si>
  <si>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</si>
  <si>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</si>
  <si>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</si>
  <si>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</si>
  <si>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</si>
  <si>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</si>
  <si>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</si>
  <si>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</si>
  <si>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</si>
  <si>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</si>
  <si>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</si>
  <si>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</si>
  <si>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</si>
  <si>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</si>
  <si>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</si>
  <si>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</si>
  <si>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</si>
  <si>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</si>
  <si>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</si>
  <si>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</si>
  <si>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</si>
  <si>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</si>
  <si>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</si>
  <si>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</si>
  <si>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</si>
  <si>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</si>
  <si>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</si>
  <si>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</si>
  <si>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</si>
  <si>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</si>
  <si>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</si>
  <si>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</si>
  <si>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</si>
  <si>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</si>
  <si>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</si>
  <si>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</si>
  <si>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</si>
  <si>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</si>
  <si>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</si>
  <si>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</si>
  <si>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</si>
  <si>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</si>
  <si>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</si>
  <si>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</si>
  <si>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</si>
  <si>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</si>
  <si>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</si>
  <si>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</si>
  <si>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</si>
  <si>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</si>
  <si>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</si>
  <si>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</si>
  <si>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</si>
  <si>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</si>
  <si>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</si>
  <si>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</si>
  <si>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</si>
  <si>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</si>
  <si>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</si>
  <si>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</si>
  <si>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</si>
  <si>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</si>
  <si>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</si>
  <si>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</si>
  <si>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</si>
  <si>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</si>
  <si>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</si>
  <si>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</si>
  <si>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</si>
  <si>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</si>
  <si>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</si>
  <si>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</si>
  <si>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</si>
  <si>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</si>
  <si>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</si>
  <si>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</si>
  <si>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</si>
  <si>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</si>
  <si>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</si>
  <si>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</si>
  <si>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</si>
  <si>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</si>
  <si>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</si>
  <si>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</si>
  <si>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</si>
  <si>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</si>
  <si>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</si>
  <si>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</si>
  <si>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</si>
  <si>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</si>
  <si>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</si>
  <si>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</si>
  <si>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</si>
  <si>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</si>
  <si>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</si>
  <si>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</si>
  <si>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</si>
  <si>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</si>
  <si>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</si>
  <si>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</si>
  <si>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</si>
  <si>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</si>
  <si>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</si>
  <si>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</si>
  <si>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</si>
  <si>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</si>
  <si>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</si>
  <si>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</si>
  <si>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</si>
  <si>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</si>
  <si>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</si>
  <si>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</si>
  <si>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</si>
  <si>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</si>
  <si>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</si>
  <si>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</si>
  <si>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</si>
  <si>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</si>
  <si>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</si>
  <si>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</si>
  <si>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</si>
  <si>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</si>
  <si>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</si>
  <si>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</si>
  <si>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</si>
  <si>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</si>
  <si>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</si>
  <si>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</si>
  <si>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</si>
  <si>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</si>
  <si>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</si>
  <si>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</si>
  <si>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</si>
  <si>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</si>
  <si>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</si>
  <si>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</si>
  <si>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</si>
  <si>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</si>
  <si>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</si>
  <si>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</si>
  <si>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</si>
  <si>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</si>
  <si>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</si>
  <si>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</si>
  <si>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</si>
  <si>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</si>
  <si>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</si>
  <si>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</si>
  <si>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</si>
  <si>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</si>
  <si>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</si>
  <si>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</si>
  <si>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</si>
  <si>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</si>
  <si>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</si>
  <si>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</si>
  <si>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</si>
  <si>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</si>
  <si>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</si>
  <si>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</si>
  <si>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</si>
  <si>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</si>
  <si>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</si>
  <si>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</si>
  <si>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</si>
  <si>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</si>
  <si>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</si>
  <si>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</si>
  <si>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</si>
  <si>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</si>
  <si>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</si>
  <si>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</si>
  <si>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</si>
  <si>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</si>
  <si>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</si>
  <si>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</si>
  <si>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</si>
  <si>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</si>
  <si>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</si>
  <si>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</si>
  <si>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</si>
  <si>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</si>
  <si>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</si>
  <si>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</si>
  <si>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</si>
  <si>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</si>
  <si>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</si>
  <si>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</si>
  <si>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</si>
  <si>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</si>
  <si>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</si>
  <si>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</si>
  <si>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</si>
  <si>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</si>
  <si>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</si>
  <si>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</si>
  <si>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</si>
  <si>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</si>
  <si>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</si>
  <si>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</si>
  <si>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</si>
  <si>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</si>
  <si>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</si>
  <si>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</si>
  <si>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</si>
  <si>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</si>
  <si>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</si>
  <si>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</si>
  <si>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</si>
  <si>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</si>
  <si>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</si>
  <si>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</si>
  <si>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</si>
  <si>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</si>
  <si>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</si>
  <si>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</si>
  <si>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</si>
  <si>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</si>
  <si>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</si>
  <si>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</si>
  <si>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</si>
  <si>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</si>
  <si>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</si>
  <si>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</si>
  <si>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</si>
  <si>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</si>
  <si>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</si>
  <si>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</si>
  <si>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</si>
  <si>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</si>
  <si>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</si>
  <si>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</si>
  <si>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</si>
  <si>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</si>
  <si>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</si>
  <si>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</si>
  <si>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</si>
  <si>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</si>
  <si>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</si>
  <si>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</si>
  <si>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</si>
  <si>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</si>
  <si>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</si>
  <si>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</si>
  <si>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</si>
  <si>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</si>
  <si>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</si>
  <si>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</si>
  <si>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</si>
  <si>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</si>
  <si>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</si>
  <si>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</si>
  <si>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</si>
  <si>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</si>
  <si>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</si>
  <si>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</si>
  <si>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</si>
  <si>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</si>
  <si>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</si>
  <si>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</si>
  <si>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</si>
  <si>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</si>
  <si>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</si>
  <si>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</si>
  <si>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</si>
  <si>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</si>
  <si>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</si>
  <si>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</si>
  <si>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</si>
  <si>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</si>
  <si>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</si>
  <si>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</si>
  <si>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</si>
  <si>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</si>
  <si>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</si>
  <si>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</si>
  <si>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</si>
  <si>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</si>
  <si>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</si>
  <si>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</si>
  <si>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</si>
  <si>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</si>
  <si>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</si>
  <si>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</si>
  <si>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</si>
  <si>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</si>
  <si>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</si>
  <si>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</si>
  <si>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</si>
  <si>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</si>
  <si>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</si>
  <si>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</si>
  <si>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</si>
  <si>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</si>
  <si>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</si>
  <si>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</si>
  <si>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</si>
  <si>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</si>
  <si>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</si>
  <si>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</si>
  <si>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</si>
  <si>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</si>
  <si>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</si>
  <si>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</si>
  <si>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</si>
  <si>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</si>
  <si>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</si>
  <si>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</si>
  <si>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</si>
  <si>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</si>
  <si>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</si>
  <si>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</si>
  <si>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</si>
  <si>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</si>
  <si>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</si>
  <si>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</si>
  <si>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</si>
  <si>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</si>
  <si>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</si>
  <si>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</si>
  <si>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</si>
  <si>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</si>
  <si>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</si>
  <si>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</si>
  <si>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</si>
  <si>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</si>
  <si>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</si>
  <si>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</si>
  <si>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</si>
  <si>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</si>
  <si>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</si>
  <si>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</si>
  <si>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</si>
  <si>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</si>
  <si>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</si>
  <si>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</si>
  <si>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</si>
  <si>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</si>
  <si>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</si>
  <si>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</si>
  <si>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</si>
  <si>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</si>
  <si>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</si>
  <si>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</si>
  <si>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</si>
  <si>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</si>
  <si>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</si>
  <si>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</si>
  <si>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</si>
  <si>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</si>
  <si>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</si>
  <si>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</si>
  <si>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</si>
  <si>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</si>
  <si>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</si>
  <si>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</si>
  <si>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</si>
  <si>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</si>
  <si>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</si>
  <si>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</si>
  <si>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</si>
  <si>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</si>
  <si>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</si>
  <si>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</si>
  <si>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</si>
  <si>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</si>
  <si>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</si>
  <si>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</si>
  <si>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</si>
  <si>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</si>
  <si>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</si>
  <si>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</si>
  <si>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</si>
  <si>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</si>
  <si>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</si>
  <si>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</si>
  <si>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</si>
  <si>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</si>
  <si>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</si>
  <si>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</si>
  <si>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</si>
  <si>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</si>
  <si>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</si>
  <si>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</si>
  <si>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</si>
  <si>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</si>
  <si>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</si>
  <si>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</si>
  <si>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</si>
  <si>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</si>
  <si>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</si>
  <si>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</si>
  <si>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</si>
  <si>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</si>
  <si>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</si>
  <si>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</si>
  <si>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</si>
  <si>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</si>
  <si>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</si>
  <si>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</si>
  <si>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</si>
  <si>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</si>
  <si>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</si>
  <si>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</si>
  <si>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</si>
  <si>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</si>
  <si>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</si>
  <si>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</si>
  <si>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</si>
  <si>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</si>
  <si>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</si>
  <si>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</si>
  <si>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</si>
  <si>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</si>
  <si>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</si>
  <si>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</si>
  <si>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</si>
  <si>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</si>
  <si>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</si>
  <si>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</si>
  <si>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</si>
  <si>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</si>
  <si>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</si>
  <si>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</si>
  <si>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</si>
  <si>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</si>
  <si>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</si>
  <si>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</si>
  <si>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</si>
  <si>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</si>
  <si>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</si>
  <si>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</si>
  <si>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</si>
  <si>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</si>
  <si>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</si>
  <si>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</si>
  <si>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</si>
  <si>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</si>
  <si>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</si>
  <si>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</si>
  <si>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</si>
  <si>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</si>
  <si>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</si>
  <si>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</si>
  <si>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</si>
  <si>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</si>
  <si>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</si>
  <si>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</si>
  <si>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</si>
  <si>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</si>
  <si>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</si>
  <si>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</si>
  <si>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</si>
  <si>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</si>
  <si>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</si>
  <si>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</si>
  <si>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</si>
  <si>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</si>
  <si>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</si>
  <si>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</si>
  <si>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</si>
  <si>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</si>
  <si>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</si>
  <si>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</si>
  <si>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</si>
  <si>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</si>
  <si>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</si>
  <si>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</si>
  <si>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</si>
  <si>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</si>
  <si>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</si>
  <si>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</si>
  <si>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</si>
  <si>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</si>
  <si>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</si>
  <si>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</si>
  <si>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</si>
  <si>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</si>
  <si>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</si>
  <si>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</si>
  <si>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</si>
  <si>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</si>
  <si>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</si>
  <si>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</si>
  <si>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</si>
  <si>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</si>
  <si>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</si>
  <si>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</si>
  <si>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</si>
  <si>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</si>
  <si>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</si>
  <si>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</si>
  <si>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</si>
  <si>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</si>
  <si>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</si>
  <si>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</si>
  <si>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</si>
  <si>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</si>
  <si>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</si>
  <si>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</si>
  <si>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</si>
  <si>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</si>
  <si>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</si>
  <si>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</si>
  <si>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</si>
  <si>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</si>
  <si>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</si>
  <si>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</si>
  <si>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</si>
  <si>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</si>
  <si>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</si>
  <si>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</si>
  <si>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</si>
  <si>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</si>
  <si>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</si>
  <si>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</si>
  <si>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</si>
  <si>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</si>
  <si>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</si>
  <si>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</si>
  <si>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</si>
  <si>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</si>
  <si>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</si>
  <si>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</si>
  <si>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</si>
  <si>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</si>
  <si>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</si>
  <si>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</si>
  <si>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</si>
  <si>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</si>
  <si>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</si>
  <si>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</si>
  <si>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</si>
  <si>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</si>
  <si>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</si>
  <si>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</si>
  <si>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</si>
  <si>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</si>
  <si>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</si>
  <si>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</si>
  <si>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</si>
  <si>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</si>
  <si>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</si>
  <si>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</si>
  <si>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</si>
  <si>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</si>
  <si>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</si>
  <si>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</si>
  <si>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</si>
  <si>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</si>
  <si>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</si>
  <si>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</si>
  <si>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</si>
  <si>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</si>
  <si>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</si>
  <si>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</si>
  <si>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</si>
  <si>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</si>
  <si>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</si>
  <si>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</si>
  <si>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</si>
  <si>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</si>
  <si>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</si>
  <si>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</si>
  <si>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</si>
  <si>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</si>
  <si>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</si>
  <si>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</si>
  <si>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</si>
  <si>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</si>
  <si>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</si>
  <si>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</si>
  <si>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</si>
  <si>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</si>
  <si>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</si>
  <si>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</si>
  <si>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</si>
  <si>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</si>
  <si>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</si>
  <si>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</si>
  <si>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</si>
  <si>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</si>
  <si>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</si>
  <si>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</si>
  <si>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</si>
  <si>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</si>
  <si>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</si>
  <si>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</si>
  <si>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</si>
  <si>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</si>
  <si>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</si>
  <si>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</si>
  <si>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</si>
  <si>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</si>
  <si>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</si>
  <si>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</si>
  <si>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</si>
  <si>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</si>
  <si>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</si>
  <si>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</si>
  <si>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</si>
  <si>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</si>
  <si>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</si>
  <si>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</si>
  <si>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</si>
  <si>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</si>
  <si>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</si>
  <si>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</si>
  <si>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</si>
  <si>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</si>
  <si>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</si>
  <si>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</si>
  <si>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</si>
  <si>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</si>
  <si>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</si>
  <si>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</si>
  <si>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</si>
  <si>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</si>
  <si>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</si>
  <si>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</si>
  <si>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</si>
  <si>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</si>
  <si>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</si>
  <si>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</si>
  <si>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</si>
  <si>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</si>
  <si>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</si>
  <si>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</si>
  <si>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</si>
  <si>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</si>
  <si>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</si>
  <si>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</si>
  <si>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</si>
  <si>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</si>
  <si>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</si>
  <si>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</si>
  <si>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</si>
  <si>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</si>
  <si>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</si>
  <si>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</si>
  <si>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</si>
  <si>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</si>
  <si>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</si>
  <si>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</si>
  <si>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</si>
  <si>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</si>
  <si>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</si>
  <si>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</si>
  <si>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</si>
  <si>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</si>
  <si>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</si>
  <si>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</si>
  <si>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</si>
  <si>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</si>
  <si>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</si>
  <si>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</si>
  <si>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</si>
  <si>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</si>
  <si>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</si>
  <si>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</si>
  <si>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</si>
  <si>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</si>
  <si>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</si>
  <si>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</si>
  <si>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</si>
  <si>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</si>
  <si>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</si>
  <si>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</si>
  <si>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</si>
  <si>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</si>
  <si>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</si>
  <si>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</si>
  <si>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</si>
  <si>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</si>
  <si>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</si>
  <si>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</si>
  <si>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</si>
  <si>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</si>
  <si>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</si>
  <si>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</si>
  <si>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</si>
  <si>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</si>
  <si>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</si>
  <si>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</si>
  <si>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</si>
  <si>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</si>
  <si>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</si>
  <si>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</si>
  <si>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</si>
  <si>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</si>
  <si>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</si>
  <si>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</si>
  <si>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</si>
  <si>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</si>
  <si>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</si>
  <si>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</si>
  <si>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</si>
  <si>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</si>
  <si>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</si>
  <si>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</si>
  <si>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</si>
  <si>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</si>
  <si>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</si>
  <si>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</si>
  <si>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</si>
  <si>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</si>
  <si>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</si>
  <si>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</si>
  <si>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</si>
  <si>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</si>
  <si>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</si>
  <si>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</si>
  <si>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</si>
  <si>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</si>
  <si>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</si>
  <si>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</si>
  <si>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</si>
  <si>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</si>
  <si>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</si>
  <si>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</si>
  <si>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</si>
  <si>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</si>
  <si>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</si>
  <si>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</si>
  <si>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</si>
  <si>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</si>
  <si>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</si>
  <si>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</si>
  <si>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</si>
  <si>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</si>
  <si>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</si>
  <si>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</si>
  <si>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</si>
  <si>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</si>
  <si>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</si>
  <si>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</si>
  <si>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</si>
  <si>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</si>
  <si>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</si>
  <si>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</si>
  <si>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</si>
  <si>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</si>
  <si>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</si>
  <si>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</si>
  <si>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</si>
  <si>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</si>
  <si>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</si>
  <si>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</si>
  <si>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</si>
  <si>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</si>
  <si>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</si>
  <si>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</si>
  <si>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</si>
  <si>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</si>
  <si>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</si>
  <si>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</si>
  <si>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</si>
  <si>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</si>
  <si>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</si>
  <si>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</si>
  <si>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</si>
  <si>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</si>
  <si>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</si>
  <si>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</si>
  <si>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</si>
  <si>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</si>
  <si>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</si>
  <si>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</si>
  <si>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</si>
  <si>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</si>
  <si>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</si>
  <si>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</si>
  <si>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</si>
  <si>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</si>
  <si>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</si>
  <si>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</si>
  <si>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</si>
  <si>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</si>
  <si>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</si>
  <si>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</si>
  <si>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</si>
  <si>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</si>
  <si>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</si>
  <si>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</si>
  <si>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</si>
  <si>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</si>
  <si>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</si>
  <si>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</si>
  <si>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</si>
  <si>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</si>
  <si>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</si>
  <si>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</si>
  <si>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</si>
  <si>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</si>
  <si>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</si>
  <si>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</si>
  <si>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</si>
  <si>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</si>
  <si>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</si>
  <si>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</si>
  <si>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</si>
  <si>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</si>
  <si>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</si>
  <si>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</si>
  <si>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</si>
  <si>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</si>
  <si>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</si>
  <si>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</si>
  <si>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</si>
  <si>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</si>
  <si>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</si>
  <si>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</si>
  <si>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</si>
  <si>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</si>
  <si>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</si>
  <si>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</si>
  <si>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</si>
  <si>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</si>
  <si>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</si>
  <si>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</si>
  <si>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</si>
  <si>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</si>
  <si>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</si>
  <si>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</si>
  <si>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</si>
  <si>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</si>
  <si>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</si>
  <si>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</si>
  <si>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</si>
  <si>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</si>
  <si>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</si>
  <si>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</si>
  <si>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</si>
  <si>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</si>
  <si>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</si>
  <si>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</si>
  <si>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</si>
  <si>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</si>
  <si>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</si>
  <si>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</si>
  <si>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</si>
  <si>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</si>
  <si>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</si>
  <si>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</si>
  <si>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</si>
  <si>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</si>
  <si>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</si>
  <si>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</si>
  <si>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</si>
  <si>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</si>
  <si>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</si>
  <si>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</si>
  <si>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</si>
  <si>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</si>
  <si>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</si>
  <si>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</si>
  <si>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</si>
  <si>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</si>
  <si>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</si>
  <si>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</si>
  <si>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</si>
  <si>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</si>
  <si>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</si>
  <si>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</si>
  <si>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</si>
  <si>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</si>
  <si>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</si>
  <si>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</si>
  <si>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</si>
  <si>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</si>
  <si>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</si>
  <si>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</si>
  <si>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</si>
  <si>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</si>
  <si>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</si>
  <si>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</si>
  <si>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</si>
  <si>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</si>
  <si>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</si>
  <si>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</si>
  <si>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</si>
  <si>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</si>
  <si>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</si>
  <si>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</si>
  <si>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</si>
  <si>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</si>
  <si>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</si>
  <si>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</si>
  <si>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</si>
  <si>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</si>
  <si>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</si>
  <si>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</si>
  <si>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</si>
  <si>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</si>
  <si>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</si>
  <si>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</si>
  <si>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</si>
  <si>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</si>
  <si>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</si>
  <si>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</si>
  <si>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</si>
  <si>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</si>
  <si>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</si>
  <si>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</si>
  <si>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</si>
  <si>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</si>
  <si>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</si>
  <si>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</si>
  <si>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</si>
  <si>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</si>
  <si>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</si>
  <si>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</si>
  <si>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</si>
  <si>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</si>
  <si>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</si>
  <si>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</si>
  <si>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</si>
  <si>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</si>
  <si>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</si>
  <si>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</si>
  <si>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</si>
  <si>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</si>
  <si>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</si>
  <si>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</si>
  <si>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</si>
  <si>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</si>
  <si>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</si>
  <si>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</si>
  <si>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</si>
  <si>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</si>
  <si>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</si>
  <si>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</si>
  <si>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</si>
  <si>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</si>
  <si>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</si>
  <si>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</si>
  <si>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</si>
  <si>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</si>
  <si>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</si>
  <si>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</si>
  <si>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</si>
  <si>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</si>
  <si>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</si>
  <si>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</si>
  <si>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</si>
  <si>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</si>
  <si>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</si>
  <si>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</si>
  <si>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</si>
  <si>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</si>
  <si>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</si>
  <si>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</si>
  <si>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</si>
  <si>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</si>
  <si>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</si>
  <si>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</si>
  <si>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</si>
  <si>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</si>
  <si>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</si>
  <si>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</si>
  <si>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</si>
  <si>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</si>
  <si>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</si>
  <si>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</si>
  <si>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</si>
  <si>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</si>
  <si>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</si>
  <si>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</si>
  <si>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</si>
  <si>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</si>
  <si>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</si>
  <si>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</si>
  <si>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</si>
  <si>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</si>
  <si>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</si>
  <si>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</si>
  <si>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</si>
  <si>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</si>
  <si>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</si>
  <si>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</si>
  <si>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</si>
  <si>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</si>
  <si>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</si>
  <si>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</si>
  <si>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</si>
  <si>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</si>
  <si>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</si>
  <si>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</si>
  <si>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</si>
  <si>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</si>
  <si>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</si>
  <si>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</si>
  <si>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</si>
  <si>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</si>
  <si>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</si>
  <si>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</si>
  <si>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</si>
  <si>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</si>
  <si>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</si>
  <si>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</si>
  <si>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</si>
  <si>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</si>
  <si>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</si>
  <si>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</si>
  <si>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</si>
  <si>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</si>
  <si>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</si>
  <si>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</si>
  <si>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</si>
  <si>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</si>
  <si>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</si>
  <si>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</si>
  <si>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</si>
  <si>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</si>
  <si>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</si>
  <si>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</si>
  <si>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</si>
  <si>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</si>
  <si>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</si>
  <si>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</si>
  <si>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</si>
  <si>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</si>
  <si>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</si>
  <si>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</si>
  <si>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</si>
  <si>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</si>
  <si>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</si>
  <si>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</si>
  <si>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</si>
  <si>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</si>
  <si>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</si>
  <si>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</si>
  <si>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</si>
  <si>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</si>
  <si>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</si>
  <si>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</si>
  <si>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</si>
  <si>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</si>
  <si>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</si>
  <si>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</si>
  <si>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</si>
  <si>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</si>
  <si>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</si>
  <si>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</si>
  <si>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</si>
  <si>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</si>
  <si>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</si>
  <si>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</si>
  <si>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</si>
  <si>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</si>
  <si>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</si>
  <si>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</si>
  <si>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</si>
  <si>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</si>
  <si>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</si>
  <si>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</si>
  <si>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</si>
  <si>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</si>
  <si>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</si>
  <si>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</si>
  <si>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</si>
  <si>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</si>
  <si>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</si>
  <si>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</si>
  <si>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</si>
  <si>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</si>
  <si>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</si>
  <si>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</si>
  <si>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</si>
  <si>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</si>
  <si>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</si>
  <si>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</si>
  <si>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</si>
  <si>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</si>
  <si>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</si>
  <si>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</si>
  <si>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</si>
  <si>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</si>
  <si>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</si>
  <si>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</si>
  <si>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</si>
  <si>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</si>
  <si>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</si>
  <si>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</si>
  <si>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</si>
  <si>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</si>
  <si>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</si>
  <si>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</si>
  <si>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</si>
  <si>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</si>
  <si>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</si>
  <si>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</si>
  <si>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</si>
  <si>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</si>
  <si>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</si>
  <si>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</si>
  <si>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</si>
  <si>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</si>
  <si>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</si>
  <si>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</si>
  <si>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</si>
  <si>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</si>
  <si>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</si>
  <si>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</si>
  <si>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</si>
  <si>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</si>
  <si>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</si>
  <si>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</si>
  <si>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</si>
  <si>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</si>
  <si>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</si>
  <si>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</si>
  <si>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</si>
  <si>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</si>
  <si>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</si>
  <si>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</si>
  <si>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</si>
  <si>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</si>
  <si>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</si>
  <si>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</si>
  <si>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</si>
  <si>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</si>
  <si>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</si>
  <si>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</si>
  <si>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</si>
  <si>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</si>
  <si>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</si>
  <si>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</si>
  <si>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</si>
  <si>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</si>
  <si>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</si>
  <si>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</si>
  <si>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</si>
  <si>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</si>
  <si>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</si>
  <si>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</si>
  <si>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</si>
  <si>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</si>
  <si>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</si>
  <si>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</si>
  <si>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</si>
  <si>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</si>
  <si>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FORESIGHT FINISHING LLC</t>
  </si>
  <si>
    <t>MARK WILLIAMS</t>
  </si>
  <si>
    <t>MARK@FORESIGHTFINISHING.COM</t>
  </si>
  <si>
    <t>480-200-1934</t>
  </si>
  <si>
    <t>EHS MANAGER</t>
  </si>
  <si>
    <t>MARK@FORESIGHTFINISH.COM</t>
  </si>
  <si>
    <t>4802001934</t>
  </si>
  <si>
    <t>Yes as the final finish</t>
  </si>
  <si>
    <t xml:space="preserve">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			</t>
  </si>
  <si>
    <t>Tin is solely manufactured from recycled and scrap sources.</t>
  </si>
  <si>
    <t>Potassium Gold Cyanide (PGC) is solely manufactured from recycled and scrap sources.</t>
  </si>
  <si>
    <t>100%</t>
  </si>
  <si>
    <t>https://www.foresightfinishing.com/index.php/accreditations</t>
  </si>
  <si>
    <t>METAL SURFACE FINISH</t>
  </si>
  <si>
    <t>GOLD ELECTROPLATING</t>
  </si>
  <si>
    <t>TIN ELECTROPLATING</t>
  </si>
  <si>
    <t>SOLDER TESTING</t>
  </si>
  <si>
    <t>TIN/LEAD SOLDER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</si>
</sst>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67" fillId="0" borderId="0" applyNumberFormat="0" applyFill="0" applyBorder="0">
      <protection locked="0"/>
    </xf>
    <xf numFmtId="0" fontId="1" fillId="0" borderId="0"/>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6" fillId="33" borderId="22" xfId="0"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A3AA3CB1-2A93-41CE-B906-4F1AF59C2FFA}"/>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F22F797E-7D8D-4C07-85BD-644FF21C53A7}"/>
    <cellStyle name="Normal 9 3" xfId="594" xr:uid="{327E7A29-48F8-4613-B3BB-3A64729E451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K@FORESIGHTFINISHIN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K@FORESIGHTFINIS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1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A7BF5E3-B302-46AF-BD76-A15EDBBFF0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0F3246B-2852-40DE-91F2-6449F0A33DE6}"/>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15802</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t="s">
        <v>15802</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488</v>
      </c>
      <c r="E51" s="327"/>
      <c r="F51" s="47"/>
      <c r="G51" s="328" t="s">
        <v>15804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488</v>
      </c>
      <c r="E52" s="327"/>
      <c r="F52" s="47"/>
      <c r="G52" s="328" t="s">
        <v>15805</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15807</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7F03CED-0822-4231-998F-557D605A8CD7}"/>
    <hyperlink ref="D20" r:id="rId4" xr:uid="{77ED6584-3ED1-4DA9-8128-D983E579EF7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1781</v>
      </c>
      <c r="B5" s="182" t="s">
        <v>1126</v>
      </c>
      <c r="C5" s="186" t="s">
        <v>2149</v>
      </c>
      <c r="D5" s="230" t="s">
        <v>2149</v>
      </c>
      <c r="E5" s="182" t="str">
        <f ca="1">IF(ISERROR($V5),"",OFFSET('Smelter Look-up'!$D$4,$V5-4,0)&amp;"")</f>
        <v>UNITED STATES OF AMERICA</v>
      </c>
      <c r="F5" s="182" t="str">
        <f ca="1">IF(ISERROR($V5),"",OFFSET('Smelter Look-up'!$E$4,$V5-4,0))</f>
        <v>CID001142</v>
      </c>
      <c r="G5" s="182" t="str">
        <f ca="1">IF(C5=$X$4,IF(ISERROR($V5),"Enter smelter details","RMI"),IF(ISERROR($V5),"",OFFSET('Smelter Look-up'!$F$4,$V5-4,0)))</f>
        <v>RMI</v>
      </c>
      <c r="H5" s="183">
        <f ca="1">IF(ISERROR($V5),"",OFFSET('Smelter Look-up'!$G$4,$V5-4,0))</f>
        <v>0</v>
      </c>
      <c r="I5" s="184" t="str">
        <f ca="1">IF(ISERROR($V5),"",OFFSET('Smelter Look-up'!$H$4,$V5-4,0))</f>
        <v>Twinsburg</v>
      </c>
      <c r="J5" s="184" t="str">
        <f ca="1">IF(ISERROR($V5),"",OFFSET('Smelter Look-up'!$I$4,$V5-4,0))</f>
        <v>Ohio</v>
      </c>
      <c r="K5" s="224"/>
      <c r="L5" s="224"/>
      <c r="M5" s="224"/>
      <c r="N5" s="224"/>
      <c r="O5" s="224"/>
      <c r="P5" s="185"/>
      <c r="Q5" s="225"/>
      <c r="R5" s="182" t="str">
        <f ca="1">IF(ISERROR($V5),"",OFFSET('Smelter Look-up'!$C$4,$V5-4,0)&amp;"")</f>
        <v>Metallic Resources, Inc.</v>
      </c>
      <c r="S5" s="181" t="str">
        <f t="shared" ref="S5" ca="1" si="0">IF(B5="","",IF(ISERROR(MATCH($E5,CL,0)),"Unknown",INDIRECT("'C'!$A$"&amp;MATCH($E5,CL,0)+1)))</f>
        <v>US</v>
      </c>
      <c r="T5" s="181" t="str">
        <f ca="1">IF(B5="","",IF(ISERROR(MATCH($J5,SorP!$B$1:$B$6279,0)),"",INDIRECT("'SorP'!$A$"&amp;MATCH($S5&amp;$J5,SorP!C:C,0))))</f>
        <v>US-OH</v>
      </c>
      <c r="U5" s="201"/>
      <c r="V5" s="226">
        <f>IF(C5="",NA(),IF(OR(C5="Smelter not listed",C5="Smelter not yet identified"),MATCH($B5&amp;$D5,'Smelter Look-up'!$J:$J,0),MATCH($B5&amp;$C5,'Smelter Look-up'!$J:$J,0)))</f>
        <v>462</v>
      </c>
      <c r="X5" s="227">
        <f t="shared" ref="X5" ca="1" si="1">IF(AND(C5="Smelter not listed",OR(LEN(D5)=0,LEN(E5)=0)),1,0)</f>
        <v>0</v>
      </c>
      <c r="AB5" s="228" t="str">
        <f t="shared" ref="AB5" si="2">B5&amp;C5</f>
        <v>TinMetallic Resources, Inc.</v>
      </c>
    </row>
    <row r="6" spans="1:34" s="227" customFormat="1" ht="19.899999999999999" customHeight="1">
      <c r="A6" s="262" t="s">
        <v>706</v>
      </c>
      <c r="B6" s="182" t="s">
        <v>1125</v>
      </c>
      <c r="C6" s="186" t="s">
        <v>1224</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3">IF(B6="","",IF(ISERROR(MATCH($E6,CL,0)),"Unknown",INDIRECT("'C'!$A$"&amp;MATCH($E6,CL,0)+1)))</f>
        <v>US</v>
      </c>
      <c r="T6" s="181" t="str">
        <f ca="1">IF(B6="","",IF(ISERROR(MATCH($J6,SorP!$B$1:$B$6279,0)),"",INDIRECT("'SorP'!$A$"&amp;MATCH($S6&amp;$J6,SorP!C:C,0))))</f>
        <v>US-MA</v>
      </c>
      <c r="U6" s="201"/>
      <c r="V6" s="226">
        <f>IF(C6="",NA(),IF(OR(C6="Smelter not listed",C6="Smelter not yet identified"),MATCH($B6&amp;$D6,'Smelter Look-up'!$J:$J,0),MATCH($B6&amp;$C6,'Smelter Look-up'!$J:$J,0)))</f>
        <v>176</v>
      </c>
      <c r="X6" s="227">
        <f t="shared" ref="X6:X37" ca="1" si="4">IF(AND(C6="Smelter not listed",OR(LEN(D6)=0,LEN(E6)=0)),1,0)</f>
        <v>0</v>
      </c>
      <c r="AB6" s="228" t="str">
        <f t="shared" ref="AB6:AB37" si="5">B6&amp;C6</f>
        <v>GoldMetalor USA Refining Corporation</v>
      </c>
    </row>
    <row r="7" spans="1:34" s="227" customFormat="1" ht="19.899999999999999" customHeight="1">
      <c r="A7" s="262" t="s">
        <v>779</v>
      </c>
      <c r="B7" s="182" t="s">
        <v>1126</v>
      </c>
      <c r="C7" s="186" t="s">
        <v>627</v>
      </c>
      <c r="D7" s="230"/>
      <c r="E7" s="182" t="str">
        <f ca="1">IF(ISERROR($V7),"",OFFSET('Smelter Look-up'!$D$4,$V7-4,0)&amp;"")</f>
        <v>INDONESIA</v>
      </c>
      <c r="F7" s="182" t="str">
        <f ca="1">IF(ISERROR($V7),"",OFFSET('Smelter Look-up'!$E$4,$V7-4,0))</f>
        <v>CID001453</v>
      </c>
      <c r="G7" s="182" t="str">
        <f ca="1">IF(C7=$X$4,IF(ISERROR($V7),"Enter smelter details","RMI"),IF(ISERROR($V7),"",OFFSET('Smelter Look-up'!$F$4,$V7-4,0)))</f>
        <v>RMI</v>
      </c>
      <c r="H7" s="183">
        <f ca="1">IF(ISERROR($V7),"",OFFSET('Smelter Look-up'!$G$4,$V7-4,0))</f>
        <v>0</v>
      </c>
      <c r="I7" s="184" t="str">
        <f ca="1">IF(ISERROR($V7),"",OFFSET('Smelter Look-up'!$H$4,$V7-4,0))</f>
        <v>Sungailiat</v>
      </c>
      <c r="J7" s="184" t="str">
        <f ca="1">IF(ISERROR($V7),"",OFFSET('Smelter Look-up'!$I$4,$V7-4,0))</f>
        <v>Kepulauan Bangka Belitung</v>
      </c>
      <c r="K7" s="224"/>
      <c r="L7" s="224"/>
      <c r="M7" s="224"/>
      <c r="N7" s="224"/>
      <c r="O7" s="224"/>
      <c r="P7" s="185"/>
      <c r="Q7" s="225"/>
      <c r="R7" s="182" t="str">
        <f ca="1">IF(ISERROR($V7),"",OFFSET('Smelter Look-up'!$C$4,$V7-4,0)&amp;"")</f>
        <v>PT Mitra Stania Prima</v>
      </c>
      <c r="S7" s="181" t="str">
        <f t="shared" ca="1" si="3"/>
        <v>ID</v>
      </c>
      <c r="T7" s="181" t="str">
        <f ca="1">IF(B7="","",IF(ISERROR(MATCH($J7,SorP!$B$1:$B$6279,0)),"",INDIRECT("'SorP'!$A$"&amp;MATCH($S7&amp;$J7,SorP!C:C,0))))</f>
        <v>ID-BB</v>
      </c>
      <c r="U7" s="201"/>
      <c r="V7" s="226">
        <f>IF(C7="",NA(),IF(OR(C7="Smelter not listed",C7="Smelter not yet identified"),MATCH($B7&amp;$D7,'Smelter Look-up'!$J:$J,0),MATCH($B7&amp;$C7,'Smelter Look-up'!$J:$J,0)))</f>
        <v>500</v>
      </c>
      <c r="X7" s="227">
        <f t="shared" ca="1" si="4"/>
        <v>0</v>
      </c>
      <c r="AB7" s="228" t="str">
        <f t="shared" si="5"/>
        <v>TinPT Mitra Stania Prima</v>
      </c>
    </row>
    <row r="8" spans="1:34" s="227" customFormat="1" ht="19.899999999999999" customHeight="1">
      <c r="A8" s="262" t="s">
        <v>773</v>
      </c>
      <c r="B8" s="182" t="s">
        <v>1126</v>
      </c>
      <c r="C8" s="186" t="s">
        <v>1030</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3"/>
        <v>PE</v>
      </c>
      <c r="T8" s="181" t="str">
        <f ca="1">IF(B8="","",IF(ISERROR(MATCH($J8,SorP!$B$1:$B$6279,0)),"",INDIRECT("'SorP'!$A$"&amp;MATCH($S8&amp;$J8,SorP!C:C,0))))</f>
        <v>PE-ICA</v>
      </c>
      <c r="U8" s="201"/>
      <c r="V8" s="226">
        <f>IF(C8="",NA(),IF(OR(C8="Smelter not listed",C8="Smelter not yet identified"),MATCH($B8&amp;$D8,'Smelter Look-up'!$J:$J,0),MATCH($B8&amp;$C8,'Smelter Look-up'!$J:$J,0)))</f>
        <v>470</v>
      </c>
      <c r="X8" s="227">
        <f t="shared" ca="1" si="4"/>
        <v>0</v>
      </c>
      <c r="AB8" s="228" t="str">
        <f t="shared" si="5"/>
        <v>TinMinsur</v>
      </c>
    </row>
    <row r="9" spans="1:34" s="227" customFormat="1" ht="19.899999999999999" customHeight="1">
      <c r="A9" s="262" t="s">
        <v>772</v>
      </c>
      <c r="B9" s="182" t="s">
        <v>1126</v>
      </c>
      <c r="C9" s="186" t="s">
        <v>12928</v>
      </c>
      <c r="D9" s="230"/>
      <c r="E9" s="182" t="str">
        <f ca="1">IF(ISERROR($V9),"",OFFSET('Smelter Look-up'!$D$4,$V9-4,0)&amp;"")</f>
        <v>BRAZIL</v>
      </c>
      <c r="F9" s="182" t="str">
        <f ca="1">IF(ISERROR($V9),"",OFFSET('Smelter Look-up'!$E$4,$V9-4,0))</f>
        <v>CID001173</v>
      </c>
      <c r="G9" s="182" t="str">
        <f ca="1">IF(C9=$X$4,IF(ISERROR($V9),"Enter smelter details","RMI"),IF(ISERROR($V9),"",OFFSET('Smelter Look-up'!$F$4,$V9-4,0)))</f>
        <v>RMI</v>
      </c>
      <c r="H9" s="183">
        <f ca="1">IF(ISERROR($V9),"",OFFSET('Smelter Look-up'!$G$4,$V9-4,0))</f>
        <v>0</v>
      </c>
      <c r="I9" s="184" t="str">
        <f ca="1">IF(ISERROR($V9),"",OFFSET('Smelter Look-up'!$H$4,$V9-4,0))</f>
        <v>Bairro Guarapiranga</v>
      </c>
      <c r="J9" s="184" t="str">
        <f ca="1">IF(ISERROR($V9),"",OFFSET('Smelter Look-up'!$I$4,$V9-4,0))</f>
        <v>São Paulo</v>
      </c>
      <c r="K9" s="224"/>
      <c r="L9" s="224"/>
      <c r="M9" s="224"/>
      <c r="N9" s="224"/>
      <c r="O9" s="224"/>
      <c r="P9" s="185"/>
      <c r="Q9" s="225"/>
      <c r="R9" s="182" t="str">
        <f ca="1">IF(ISERROR($V9),"",OFFSET('Smelter Look-up'!$C$4,$V9-4,0)&amp;"")</f>
        <v>Mineracao Taboca S.A.</v>
      </c>
      <c r="S9" s="181" t="str">
        <f t="shared" ca="1" si="3"/>
        <v>BR</v>
      </c>
      <c r="T9" s="181" t="str">
        <f ca="1">IF(B9="","",IF(ISERROR(MATCH($J9,SorP!$B$1:$B$6279,0)),"",INDIRECT("'SorP'!$A$"&amp;MATCH($S9&amp;$J9,SorP!C:C,0))))</f>
        <v>BR-SP</v>
      </c>
      <c r="U9" s="201"/>
      <c r="V9" s="226">
        <f>IF(C9="",NA(),IF(OR(C9="Smelter not listed",C9="Smelter not yet identified"),MATCH($B9&amp;$D9,'Smelter Look-up'!$J:$J,0),MATCH($B9&amp;$C9,'Smelter Look-up'!$J:$J,0)))</f>
        <v>467</v>
      </c>
      <c r="X9" s="227">
        <f t="shared" ca="1" si="4"/>
        <v>0</v>
      </c>
      <c r="AB9" s="228" t="str">
        <f t="shared" si="5"/>
        <v>TinMineracao Taboca SA</v>
      </c>
    </row>
    <row r="10" spans="1:34" s="227" customFormat="1" ht="19.899999999999999" customHeight="1">
      <c r="A10" s="262" t="s">
        <v>785</v>
      </c>
      <c r="B10" s="182" t="s">
        <v>1126</v>
      </c>
      <c r="C10" s="186" t="s">
        <v>1802</v>
      </c>
      <c r="D10" s="230"/>
      <c r="E10" s="182" t="str">
        <f ca="1">IF(ISERROR($V10),"",OFFSET('Smelter Look-up'!$D$4,$V10-4,0)&amp;"")</f>
        <v>BRAZIL</v>
      </c>
      <c r="F10" s="182" t="str">
        <f ca="1">IF(ISERROR($V10),"",OFFSET('Smelter Look-up'!$E$4,$V10-4,0))</f>
        <v>CID002036</v>
      </c>
      <c r="G10" s="182" t="str">
        <f ca="1">IF(C10=$X$4,IF(ISERROR($V10),"Enter smelter details","RMI"),IF(ISERROR($V10),"",OFFSET('Smelter Look-up'!$F$4,$V10-4,0)))</f>
        <v>RMI</v>
      </c>
      <c r="H10" s="183">
        <f ca="1">IF(ISERROR($V10),"",OFFSET('Smelter Look-up'!$G$4,$V10-4,0))</f>
        <v>0</v>
      </c>
      <c r="I10" s="184" t="str">
        <f ca="1">IF(ISERROR($V10),"",OFFSET('Smelter Look-up'!$H$4,$V10-4,0))</f>
        <v>Ariquemes</v>
      </c>
      <c r="J10" s="184" t="str">
        <f ca="1">IF(ISERROR($V10),"",OFFSET('Smelter Look-up'!$I$4,$V10-4,0))</f>
        <v>Rondônia</v>
      </c>
      <c r="K10" s="224"/>
      <c r="L10" s="224"/>
      <c r="M10" s="224"/>
      <c r="N10" s="224"/>
      <c r="O10" s="224"/>
      <c r="P10" s="185"/>
      <c r="Q10" s="225"/>
      <c r="R10" s="182" t="str">
        <f ca="1">IF(ISERROR($V10),"",OFFSET('Smelter Look-up'!$C$4,$V10-4,0)&amp;"")</f>
        <v>White Solder Metalurgia e Mineracao Ltda.</v>
      </c>
      <c r="S10" s="181" t="str">
        <f t="shared" ca="1" si="3"/>
        <v>BR</v>
      </c>
      <c r="T10" s="181" t="str">
        <f ca="1">IF(B10="","",IF(ISERROR(MATCH($J10,SorP!$B$1:$B$6279,0)),"",INDIRECT("'SorP'!$A$"&amp;MATCH($S10&amp;$J10,SorP!C:C,0))))</f>
        <v>BR-RO</v>
      </c>
      <c r="U10" s="201"/>
      <c r="V10" s="226">
        <f>IF(C10="",NA(),IF(OR(C10="Smelter not listed",C10="Smelter not yet identified"),MATCH($B10&amp;$D10,'Smelter Look-up'!$J:$J,0),MATCH($B10&amp;$C10,'Smelter Look-up'!$J:$J,0)))</f>
        <v>537</v>
      </c>
      <c r="X10" s="227">
        <f t="shared" ca="1" si="4"/>
        <v>0</v>
      </c>
      <c r="AB10" s="228" t="str">
        <f t="shared" si="5"/>
        <v>TinWhite Solder Metalurgica</v>
      </c>
    </row>
    <row r="11" spans="1:34" s="227" customFormat="1" ht="19.899999999999999" customHeight="1">
      <c r="A11" s="262" t="s">
        <v>777</v>
      </c>
      <c r="B11" s="182" t="s">
        <v>1126</v>
      </c>
      <c r="C11" s="186" t="s">
        <v>13803</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Operaciones Metalurgicas S.A.</v>
      </c>
      <c r="S11" s="181" t="str">
        <f t="shared" ca="1" si="3"/>
        <v>BO</v>
      </c>
      <c r="T11" s="181" t="str">
        <f ca="1">IF(B11="","",IF(ISERROR(MATCH($J11,SorP!$B$1:$B$6279,0)),"",INDIRECT("'SorP'!$A$"&amp;MATCH($S11&amp;$J11,SorP!C:C,0))))</f>
        <v>BO-O</v>
      </c>
      <c r="U11" s="201"/>
      <c r="V11" s="226">
        <f>IF(C11="",NA(),IF(OR(C11="Smelter not listed",C11="Smelter not yet identified"),MATCH($B11&amp;$D11,'Smelter Look-up'!$J:$J,0),MATCH($B11&amp;$C11,'Smelter Look-up'!$J:$J,0)))</f>
        <v>482</v>
      </c>
      <c r="X11" s="227">
        <f t="shared" ca="1" si="4"/>
        <v>0</v>
      </c>
      <c r="AB11" s="228" t="str">
        <f t="shared" si="5"/>
        <v>TinOperaciones Metalurgicas S.A.</v>
      </c>
    </row>
    <row r="12" spans="1:34" s="227" customFormat="1" ht="19.899999999999999" customHeight="1">
      <c r="A12" s="262" t="s">
        <v>764</v>
      </c>
      <c r="B12" s="182" t="s">
        <v>1126</v>
      </c>
      <c r="C12" s="186" t="s">
        <v>838</v>
      </c>
      <c r="D12" s="230"/>
      <c r="E12" s="182" t="str">
        <f ca="1">IF(ISERROR($V12),"",OFFSET('Smelter Look-up'!$D$4,$V12-4,0)&amp;"")</f>
        <v>BOLIVIA (PLURINATIONAL STATE OF)</v>
      </c>
      <c r="F12" s="182" t="str">
        <f ca="1">IF(ISERROR($V12),"",OFFSET('Smelter Look-up'!$E$4,$V12-4,0))</f>
        <v>CID000438</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EM Vinto</v>
      </c>
      <c r="S12" s="181" t="str">
        <f t="shared" ca="1" si="3"/>
        <v>BO</v>
      </c>
      <c r="T12" s="181" t="str">
        <f ca="1">IF(B12="","",IF(ISERROR(MATCH($J12,SorP!$B$1:$B$6279,0)),"",INDIRECT("'SorP'!$A$"&amp;MATCH($S12&amp;$J12,SorP!C:C,0))))</f>
        <v>BO-O</v>
      </c>
      <c r="U12" s="201"/>
      <c r="V12" s="226">
        <f>IF(C12="",NA(),IF(OR(C12="Smelter not listed",C12="Smelter not yet identified"),MATCH($B12&amp;$D12,'Smelter Look-up'!$J:$J,0),MATCH($B12&amp;$C12,'Smelter Look-up'!$J:$J,0)))</f>
        <v>421</v>
      </c>
      <c r="X12" s="227">
        <f t="shared" ca="1" si="4"/>
        <v>0</v>
      </c>
      <c r="AB12" s="228" t="str">
        <f t="shared" si="5"/>
        <v>TinEM Vinto</v>
      </c>
    </row>
    <row r="13" spans="1:34" s="227" customFormat="1" ht="19.899999999999999" customHeight="1">
      <c r="A13" s="262" t="s">
        <v>800</v>
      </c>
      <c r="B13" s="182" t="s">
        <v>1126</v>
      </c>
      <c r="C13" s="186" t="s">
        <v>13802</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c r="L13" s="224"/>
      <c r="M13" s="224"/>
      <c r="N13" s="224"/>
      <c r="O13" s="224"/>
      <c r="P13" s="185"/>
      <c r="Q13" s="225"/>
      <c r="R13" s="182" t="str">
        <f ca="1">IF(ISERROR($V13),"",OFFSET('Smelter Look-up'!$C$4,$V13-4,0)&amp;"")</f>
        <v>PT Timah Tbk Kundur</v>
      </c>
      <c r="S13" s="181" t="str">
        <f t="shared" ca="1" si="3"/>
        <v>ID</v>
      </c>
      <c r="T13" s="181" t="str">
        <f ca="1">IF(B13="","",IF(ISERROR(MATCH($J13,SorP!$B$1:$B$6279,0)),"",INDIRECT("'SorP'!$A$"&amp;MATCH($S13&amp;$J13,SorP!C:C,0))))</f>
        <v>ID-RI</v>
      </c>
      <c r="U13" s="201"/>
      <c r="V13" s="226">
        <f>IF(C13="",NA(),IF(OR(C13="Smelter not listed",C13="Smelter not yet identified"),MATCH($B13&amp;$D13,'Smelter Look-up'!$J:$J,0),MATCH($B13&amp;$C13,'Smelter Look-up'!$J:$J,0)))</f>
        <v>513</v>
      </c>
      <c r="X13" s="227">
        <f t="shared" ca="1" si="4"/>
        <v>0</v>
      </c>
      <c r="AB13" s="228" t="str">
        <f t="shared" si="5"/>
        <v>TinPT Timah Tbk Kundur</v>
      </c>
    </row>
    <row r="14" spans="1:34" s="227" customFormat="1" ht="19.899999999999999" customHeight="1">
      <c r="A14" s="262" t="s">
        <v>781</v>
      </c>
      <c r="B14" s="182" t="s">
        <v>1126</v>
      </c>
      <c r="C14" s="186" t="s">
        <v>13801</v>
      </c>
      <c r="D14" s="230"/>
      <c r="E14" s="182" t="str">
        <f ca="1">IF(ISERROR($V14),"",OFFSET('Smelter Look-up'!$D$4,$V14-4,0)&amp;"")</f>
        <v>INDONESIA</v>
      </c>
      <c r="F14" s="182" t="str">
        <f ca="1">IF(ISERROR($V14),"",OFFSET('Smelter Look-up'!$E$4,$V14-4,0))</f>
        <v>CID001482</v>
      </c>
      <c r="G14" s="182" t="str">
        <f ca="1">IF(C14=$X$4,IF(ISERROR($V14),"Enter smelter details","RMI"),IF(ISERROR($V14),"",OFFSET('Smelter Look-up'!$F$4,$V14-4,0)))</f>
        <v>RMI</v>
      </c>
      <c r="H14" s="183">
        <f ca="1">IF(ISERROR($V14),"",OFFSET('Smelter Look-up'!$G$4,$V14-4,0))</f>
        <v>0</v>
      </c>
      <c r="I14" s="184" t="str">
        <f ca="1">IF(ISERROR($V14),"",OFFSET('Smelter Look-up'!$H$4,$V14-4,0))</f>
        <v>Mentok</v>
      </c>
      <c r="J14" s="184" t="str">
        <f ca="1">IF(ISERROR($V14),"",OFFSET('Smelter Look-up'!$I$4,$V14-4,0))</f>
        <v>Kepulauan Bangka Belitung</v>
      </c>
      <c r="K14" s="224"/>
      <c r="L14" s="224"/>
      <c r="M14" s="224"/>
      <c r="N14" s="224"/>
      <c r="O14" s="224"/>
      <c r="P14" s="185"/>
      <c r="Q14" s="225"/>
      <c r="R14" s="182" t="str">
        <f ca="1">IF(ISERROR($V14),"",OFFSET('Smelter Look-up'!$C$4,$V14-4,0)&amp;"")</f>
        <v>PT Timah Tbk Mentok</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514</v>
      </c>
      <c r="X14" s="227">
        <f t="shared" ca="1" si="4"/>
        <v>0</v>
      </c>
      <c r="AB14" s="228" t="str">
        <f t="shared" si="5"/>
        <v>TinPT Timah Tbk Mentok</v>
      </c>
    </row>
    <row r="15" spans="1:34" s="227" customFormat="1" ht="19.899999999999999" customHeight="1">
      <c r="A15" s="262" t="s">
        <v>784</v>
      </c>
      <c r="B15" s="182" t="s">
        <v>1126</v>
      </c>
      <c r="C15" s="186" t="s">
        <v>1027</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3"/>
        <v>TH</v>
      </c>
      <c r="T15" s="181" t="str">
        <f ca="1">IF(B15="","",IF(ISERROR(MATCH($J15,SorP!$B$1:$B$6279,0)),"",INDIRECT("'SorP'!$A$"&amp;MATCH($S15&amp;$J15,SorP!C:C,0))))</f>
        <v>TH-83</v>
      </c>
      <c r="U15" s="201"/>
      <c r="V15" s="226">
        <f>IF(C15="",NA(),IF(OR(C15="Smelter not listed",C15="Smelter not yet identified"),MATCH($B15&amp;$D15,'Smelter Look-up'!$J:$J,0),MATCH($B15&amp;$C15,'Smelter Look-up'!$J:$J,0)))</f>
        <v>526</v>
      </c>
      <c r="X15" s="227">
        <f t="shared" ca="1" si="4"/>
        <v>0</v>
      </c>
      <c r="AB15" s="228" t="str">
        <f t="shared" si="5"/>
        <v>TinThaisarco</v>
      </c>
    </row>
    <row r="16" spans="1:34" s="227" customFormat="1" ht="19.899999999999999" customHeight="1">
      <c r="A16" s="262" t="s">
        <v>13184</v>
      </c>
      <c r="B16" s="182" t="s">
        <v>1126</v>
      </c>
      <c r="C16" s="186" t="s">
        <v>13183</v>
      </c>
      <c r="D16" s="230"/>
      <c r="E16" s="182" t="str">
        <f ca="1">IF(ISERROR($V16),"",OFFSET('Smelter Look-up'!$D$4,$V16-4,0)&amp;"")</f>
        <v>UNITED STATES OF AMERICA</v>
      </c>
      <c r="F16" s="182" t="str">
        <f ca="1">IF(ISERROR($V16),"",OFFSET('Smelter Look-up'!$E$4,$V16-4,0))</f>
        <v>CID003325</v>
      </c>
      <c r="G16" s="182" t="str">
        <f ca="1">IF(C16=$X$4,IF(ISERROR($V16),"Enter smelter details","RMI"),IF(ISERROR($V16),"",OFFSET('Smelter Look-up'!$F$4,$V16-4,0)))</f>
        <v>RMI</v>
      </c>
      <c r="H16" s="183">
        <f ca="1">IF(ISERROR($V16),"",OFFSET('Smelter Look-up'!$G$4,$V16-4,0))</f>
        <v>0</v>
      </c>
      <c r="I16" s="184" t="str">
        <f ca="1">IF(ISERROR($V16),"",OFFSET('Smelter Look-up'!$H$4,$V16-4,0))</f>
        <v>West Chester</v>
      </c>
      <c r="J16" s="184" t="str">
        <f ca="1">IF(ISERROR($V16),"",OFFSET('Smelter Look-up'!$I$4,$V16-4,0))</f>
        <v>Pennsylvania</v>
      </c>
      <c r="K16" s="224"/>
      <c r="L16" s="224"/>
      <c r="M16" s="224"/>
      <c r="N16" s="224"/>
      <c r="O16" s="224"/>
      <c r="P16" s="185"/>
      <c r="Q16" s="225"/>
      <c r="R16" s="182" t="str">
        <f ca="1">IF(ISERROR($V16),"",OFFSET('Smelter Look-up'!$C$4,$V16-4,0)&amp;"")</f>
        <v>Tin Technology &amp; Refining</v>
      </c>
      <c r="S16" s="181" t="str">
        <f t="shared" ca="1" si="3"/>
        <v>US</v>
      </c>
      <c r="T16" s="181" t="str">
        <f ca="1">IF(B16="","",IF(ISERROR(MATCH($J16,SorP!$B$1:$B$6279,0)),"",INDIRECT("'SorP'!$A$"&amp;MATCH($S16&amp;$J16,SorP!C:C,0))))</f>
        <v>US-PA</v>
      </c>
      <c r="U16" s="201"/>
      <c r="V16" s="226">
        <f>IF(C16="",NA(),IF(OR(C16="Smelter not listed",C16="Smelter not yet identified"),MATCH($B16&amp;$D16,'Smelter Look-up'!$J:$J,0),MATCH($B16&amp;$C16,'Smelter Look-up'!$J:$J,0)))</f>
        <v>530</v>
      </c>
      <c r="X16" s="227">
        <f t="shared" ca="1" si="4"/>
        <v>0</v>
      </c>
      <c r="AB16" s="228" t="str">
        <f t="shared" si="5"/>
        <v>TinTin Technology &amp; Refining</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9AA5E89-C056-4431-97F2-12EB464AF9E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FORESIGHT FINISHING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 WILLIAMS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MARK@FORESIGHTFINISHING.COM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480-200-1934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WILLIAMS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MARK@FORESIGHTFINISH.COM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https://www.foresightfinishing.com/index.php/accreditations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8"/>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400" t="s">
        <v>15808</v>
      </c>
      <c r="C6" s="399" t="s">
        <v>15809</v>
      </c>
      <c r="D6" s="98"/>
      <c r="E6" s="276"/>
    </row>
    <row r="7" spans="1:6" ht="15.75">
      <c r="A7" s="129"/>
      <c r="B7" s="400" t="s">
        <v>15808</v>
      </c>
      <c r="C7" s="399" t="s">
        <v>15810</v>
      </c>
      <c r="D7" s="98"/>
      <c r="E7" s="276"/>
    </row>
    <row r="8" spans="1:6" ht="15.75">
      <c r="A8" s="129"/>
      <c r="B8" s="400" t="s">
        <v>15811</v>
      </c>
      <c r="C8" s="399" t="s">
        <v>15812</v>
      </c>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Williams</cp:lastModifiedBy>
  <cp:lastPrinted>2015-04-21T20:47:43Z</cp:lastPrinted>
  <dcterms:created xsi:type="dcterms:W3CDTF">2010-06-21T21:00:23Z</dcterms:created>
  <dcterms:modified xsi:type="dcterms:W3CDTF">2023-05-30T15:12:47Z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